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Mis Documentos\2017\Res420\"/>
    </mc:Choice>
  </mc:AlternateContent>
  <bookViews>
    <workbookView xWindow="0" yWindow="0" windowWidth="21600" windowHeight="9585"/>
  </bookViews>
  <sheets>
    <sheet name="Precios Ref Mercado" sheetId="10" r:id="rId1"/>
    <sheet name="Parámetros Globales" sheetId="14" r:id="rId2"/>
    <sheet name="Cierre Ciclo Comb " sheetId="11" r:id="rId3"/>
    <sheet name="Cogenerador" sheetId="13" r:id="rId4"/>
    <sheet name="PDI Aux" sheetId="3" r:id="rId5"/>
    <sheet name="Aux" sheetId="9" r:id="rId6"/>
  </sheets>
  <definedNames>
    <definedName name="_xlnm._FilterDatabase" localSheetId="4" hidden="1">'PDI Aux'!$A$4:$Y$104</definedName>
    <definedName name="_xlnm.Print_Area" localSheetId="4">'PDI Aux'!$A$2:$V$104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83" i="3" l="1"/>
  <c r="Z83" i="3"/>
  <c r="H7" i="10" l="1"/>
  <c r="H8" i="10"/>
  <c r="M82" i="13" l="1"/>
  <c r="J126" i="13" s="1"/>
  <c r="M83" i="13"/>
  <c r="M84" i="13"/>
  <c r="M85" i="13"/>
  <c r="M86" i="13"/>
  <c r="M87" i="13"/>
  <c r="M88" i="13"/>
  <c r="M89" i="13"/>
  <c r="M90" i="13"/>
  <c r="J134" i="13" s="1"/>
  <c r="M91" i="13"/>
  <c r="M92" i="13"/>
  <c r="M81" i="13"/>
  <c r="L67" i="11"/>
  <c r="L68" i="11"/>
  <c r="L69" i="11"/>
  <c r="L70" i="11"/>
  <c r="L71" i="11"/>
  <c r="L72" i="11"/>
  <c r="L73" i="11"/>
  <c r="L74" i="11"/>
  <c r="L75" i="11"/>
  <c r="L76" i="11"/>
  <c r="L77" i="11"/>
  <c r="L66" i="11"/>
  <c r="L98" i="13"/>
  <c r="L99" i="13"/>
  <c r="L100" i="13"/>
  <c r="L105" i="13"/>
  <c r="L106" i="13"/>
  <c r="L107" i="13"/>
  <c r="L108" i="13"/>
  <c r="L97" i="13"/>
  <c r="M108" i="13"/>
  <c r="K108" i="13"/>
  <c r="M107" i="13"/>
  <c r="K107" i="13"/>
  <c r="M106" i="13"/>
  <c r="K106" i="13"/>
  <c r="M105" i="13"/>
  <c r="K105" i="13"/>
  <c r="M104" i="13"/>
  <c r="K104" i="13"/>
  <c r="J104" i="13"/>
  <c r="M103" i="13"/>
  <c r="K103" i="13"/>
  <c r="J103" i="13"/>
  <c r="M102" i="13"/>
  <c r="K102" i="13"/>
  <c r="J102" i="13"/>
  <c r="M101" i="13"/>
  <c r="K101" i="13"/>
  <c r="M100" i="13"/>
  <c r="K100" i="13"/>
  <c r="M99" i="13"/>
  <c r="K99" i="13"/>
  <c r="M98" i="13"/>
  <c r="K98" i="13"/>
  <c r="M97" i="13"/>
  <c r="K97" i="13"/>
  <c r="G82" i="13"/>
  <c r="G83" i="13"/>
  <c r="G84" i="13"/>
  <c r="G85" i="13"/>
  <c r="G89" i="13"/>
  <c r="J133" i="13" s="1"/>
  <c r="G90" i="13"/>
  <c r="G91" i="13"/>
  <c r="J135" i="13" s="1"/>
  <c r="G92" i="13"/>
  <c r="G81" i="13"/>
  <c r="J125" i="13" s="1"/>
  <c r="J128" i="13"/>
  <c r="J129" i="13"/>
  <c r="L89" i="13"/>
  <c r="L90" i="13"/>
  <c r="L91" i="13"/>
  <c r="L92" i="13"/>
  <c r="L81" i="13"/>
  <c r="L82" i="13"/>
  <c r="L83" i="13"/>
  <c r="L84" i="13"/>
  <c r="J136" i="13"/>
  <c r="K92" i="13"/>
  <c r="K91" i="13"/>
  <c r="K90" i="13"/>
  <c r="K89" i="13"/>
  <c r="K88" i="13"/>
  <c r="J88" i="13"/>
  <c r="G88" i="13" s="1"/>
  <c r="K87" i="13"/>
  <c r="J87" i="13"/>
  <c r="G87" i="13" s="1"/>
  <c r="K86" i="13"/>
  <c r="J86" i="13"/>
  <c r="G86" i="13" s="1"/>
  <c r="K85" i="13"/>
  <c r="K84" i="13"/>
  <c r="K83" i="13"/>
  <c r="K82" i="13"/>
  <c r="K81" i="13"/>
  <c r="G76" i="13"/>
  <c r="C60" i="13"/>
  <c r="G60" i="13"/>
  <c r="B67" i="13"/>
  <c r="B51" i="13"/>
  <c r="J131" i="13" l="1"/>
  <c r="J127" i="13"/>
  <c r="J130" i="13"/>
  <c r="J132" i="13"/>
  <c r="C76" i="13"/>
  <c r="K67" i="11"/>
  <c r="K68" i="11"/>
  <c r="K69" i="11"/>
  <c r="K70" i="11"/>
  <c r="K74" i="11"/>
  <c r="K75" i="11"/>
  <c r="K76" i="11"/>
  <c r="K77" i="11"/>
  <c r="K66" i="11"/>
  <c r="B51" i="11"/>
  <c r="B70" i="11" s="1"/>
  <c r="G61" i="11"/>
  <c r="I73" i="11"/>
  <c r="K73" i="11" s="1"/>
  <c r="I72" i="11"/>
  <c r="K72" i="11" s="1"/>
  <c r="I71" i="11"/>
  <c r="K71" i="11" s="1"/>
  <c r="F67" i="11"/>
  <c r="F68" i="11"/>
  <c r="F69" i="11"/>
  <c r="F70" i="11"/>
  <c r="F74" i="11"/>
  <c r="F75" i="11"/>
  <c r="F76" i="11"/>
  <c r="F77" i="11"/>
  <c r="F66" i="11"/>
  <c r="J77" i="11"/>
  <c r="J76" i="11"/>
  <c r="J75" i="11"/>
  <c r="J74" i="11"/>
  <c r="J73" i="11"/>
  <c r="J72" i="11"/>
  <c r="J71" i="11"/>
  <c r="J70" i="11"/>
  <c r="J69" i="11"/>
  <c r="J68" i="11"/>
  <c r="J67" i="11"/>
  <c r="J66" i="11"/>
  <c r="K79" i="11" l="1"/>
  <c r="C61" i="11"/>
  <c r="E75" i="11"/>
  <c r="E76" i="11"/>
  <c r="E77" i="11"/>
  <c r="E74" i="11"/>
  <c r="E70" i="11"/>
  <c r="I122" i="13" l="1"/>
  <c r="I121" i="13"/>
  <c r="E114" i="13"/>
  <c r="E5" i="13"/>
  <c r="I103" i="11"/>
  <c r="I102" i="11"/>
  <c r="I101" i="11"/>
  <c r="I100" i="11"/>
  <c r="I99" i="11"/>
  <c r="I98" i="11"/>
  <c r="I97" i="11"/>
  <c r="I96" i="11"/>
  <c r="I95" i="11"/>
  <c r="I94" i="11"/>
  <c r="I93" i="11"/>
  <c r="I92" i="11"/>
  <c r="I89" i="11"/>
  <c r="I88" i="11"/>
  <c r="E5" i="11"/>
  <c r="E81" i="11"/>
  <c r="H9" i="14"/>
  <c r="F11" i="11" l="1"/>
  <c r="F10" i="11"/>
  <c r="E10" i="11"/>
  <c r="E11" i="11" s="1"/>
  <c r="E15" i="13" l="1"/>
  <c r="E15" i="11"/>
  <c r="F34" i="13"/>
  <c r="F33" i="13"/>
  <c r="F34" i="11"/>
  <c r="F33" i="11"/>
  <c r="C30" i="11" l="1"/>
  <c r="C29" i="11"/>
  <c r="I42" i="13" l="1"/>
  <c r="I41" i="13"/>
  <c r="G136" i="13"/>
  <c r="G135" i="13"/>
  <c r="G134" i="13"/>
  <c r="G133" i="13"/>
  <c r="G132" i="13"/>
  <c r="G131" i="13"/>
  <c r="G130" i="13"/>
  <c r="G129" i="13"/>
  <c r="G128" i="13"/>
  <c r="G127" i="13"/>
  <c r="G126" i="13"/>
  <c r="G125" i="13"/>
  <c r="H21" i="13" l="1"/>
  <c r="G21" i="13"/>
  <c r="J21" i="13"/>
  <c r="I21" i="13"/>
  <c r="G108" i="13"/>
  <c r="E108" i="13"/>
  <c r="G107" i="13"/>
  <c r="E107" i="13"/>
  <c r="G106" i="13"/>
  <c r="E106" i="13"/>
  <c r="G105" i="13"/>
  <c r="E105" i="13"/>
  <c r="G104" i="13"/>
  <c r="E104" i="13"/>
  <c r="G103" i="13"/>
  <c r="E103" i="13"/>
  <c r="G102" i="13"/>
  <c r="E102" i="13"/>
  <c r="B102" i="13"/>
  <c r="B103" i="13" s="1"/>
  <c r="B104" i="13" s="1"/>
  <c r="G101" i="13"/>
  <c r="E101" i="13"/>
  <c r="B101" i="13"/>
  <c r="G100" i="13"/>
  <c r="E100" i="13"/>
  <c r="G99" i="13"/>
  <c r="E99" i="13"/>
  <c r="G98" i="13"/>
  <c r="E98" i="13"/>
  <c r="B98" i="13"/>
  <c r="B99" i="13" s="1"/>
  <c r="B100" i="13" s="1"/>
  <c r="B105" i="13" s="1"/>
  <c r="B106" i="13" s="1"/>
  <c r="B107" i="13" s="1"/>
  <c r="B108" i="13" s="1"/>
  <c r="G97" i="13"/>
  <c r="E97" i="13"/>
  <c r="B97" i="13"/>
  <c r="E90" i="13" l="1"/>
  <c r="E91" i="13"/>
  <c r="E92" i="13"/>
  <c r="E89" i="13"/>
  <c r="E86" i="13"/>
  <c r="E87" i="13"/>
  <c r="E88" i="13"/>
  <c r="E85" i="13"/>
  <c r="E82" i="13"/>
  <c r="E83" i="13"/>
  <c r="E84" i="13"/>
  <c r="E81" i="13"/>
  <c r="C64" i="13"/>
  <c r="C48" i="13"/>
  <c r="G67" i="13"/>
  <c r="B68" i="13"/>
  <c r="C68" i="13" s="1"/>
  <c r="G63" i="13"/>
  <c r="B63" i="13"/>
  <c r="B64" i="13" s="1"/>
  <c r="D136" i="13"/>
  <c r="C136" i="13"/>
  <c r="D135" i="13"/>
  <c r="C135" i="13"/>
  <c r="D134" i="13"/>
  <c r="C134" i="13"/>
  <c r="D133" i="13"/>
  <c r="C133" i="13"/>
  <c r="D132" i="13"/>
  <c r="C132" i="13"/>
  <c r="D131" i="13"/>
  <c r="C131" i="13"/>
  <c r="D130" i="13"/>
  <c r="C130" i="13"/>
  <c r="D129" i="13"/>
  <c r="C129" i="13"/>
  <c r="C138" i="13" s="1"/>
  <c r="B129" i="13"/>
  <c r="B130" i="13" s="1"/>
  <c r="B131" i="13" s="1"/>
  <c r="B132" i="13" s="1"/>
  <c r="D128" i="13"/>
  <c r="C128" i="13"/>
  <c r="D127" i="13"/>
  <c r="C127" i="13"/>
  <c r="D126" i="13"/>
  <c r="C126" i="13"/>
  <c r="D125" i="13"/>
  <c r="C125" i="13"/>
  <c r="B125" i="13"/>
  <c r="B126" i="13" s="1"/>
  <c r="B127" i="13" s="1"/>
  <c r="B128" i="13" s="1"/>
  <c r="B133" i="13" s="1"/>
  <c r="B134" i="13" s="1"/>
  <c r="B135" i="13" s="1"/>
  <c r="B136" i="13" s="1"/>
  <c r="B85" i="13"/>
  <c r="B81" i="13"/>
  <c r="B82" i="13" s="1"/>
  <c r="C51" i="13"/>
  <c r="G47" i="13"/>
  <c r="B47" i="13"/>
  <c r="B48" i="13" s="1"/>
  <c r="D42" i="13"/>
  <c r="C42" i="13"/>
  <c r="D41" i="13"/>
  <c r="C41" i="13"/>
  <c r="D38" i="13"/>
  <c r="C38" i="13"/>
  <c r="D37" i="13"/>
  <c r="C37" i="13"/>
  <c r="D34" i="13"/>
  <c r="H42" i="13" s="1"/>
  <c r="E76" i="13" s="1"/>
  <c r="C34" i="13"/>
  <c r="D33" i="13"/>
  <c r="C33" i="13"/>
  <c r="F14" i="13"/>
  <c r="G5" i="13"/>
  <c r="E67" i="13" l="1"/>
  <c r="E60" i="13"/>
  <c r="C47" i="13"/>
  <c r="C63" i="13"/>
  <c r="C67" i="13"/>
  <c r="G64" i="13"/>
  <c r="B65" i="13"/>
  <c r="C65" i="13" s="1"/>
  <c r="G68" i="13"/>
  <c r="E68" i="13"/>
  <c r="B69" i="13"/>
  <c r="C69" i="13" s="1"/>
  <c r="E121" i="13"/>
  <c r="E125" i="13" s="1"/>
  <c r="H5" i="13"/>
  <c r="B49" i="13"/>
  <c r="C49" i="13" s="1"/>
  <c r="G48" i="13"/>
  <c r="B83" i="13"/>
  <c r="G33" i="13"/>
  <c r="G34" i="13"/>
  <c r="E38" i="13"/>
  <c r="F42" i="13" s="1"/>
  <c r="G38" i="13"/>
  <c r="G51" i="13"/>
  <c r="E51" i="13"/>
  <c r="B52" i="13"/>
  <c r="C52" i="13" s="1"/>
  <c r="B86" i="13"/>
  <c r="E37" i="13"/>
  <c r="F41" i="13" s="1"/>
  <c r="G37" i="13"/>
  <c r="G41" i="13" s="1"/>
  <c r="D60" i="13" l="1"/>
  <c r="F60" i="13" s="1"/>
  <c r="H60" i="13" s="1"/>
  <c r="I60" i="13" s="1"/>
  <c r="D76" i="13"/>
  <c r="F76" i="13" s="1"/>
  <c r="H76" i="13" s="1"/>
  <c r="I76" i="13" s="1"/>
  <c r="G42" i="13"/>
  <c r="C121" i="13"/>
  <c r="E124" i="13" s="1"/>
  <c r="G69" i="13"/>
  <c r="E69" i="13"/>
  <c r="B70" i="13"/>
  <c r="C70" i="13" s="1"/>
  <c r="G65" i="13"/>
  <c r="B66" i="13"/>
  <c r="C66" i="13" s="1"/>
  <c r="B87" i="13"/>
  <c r="E126" i="13"/>
  <c r="E127" i="13" s="1"/>
  <c r="E128" i="13" s="1"/>
  <c r="E129" i="13" s="1"/>
  <c r="E130" i="13" s="1"/>
  <c r="E131" i="13" s="1"/>
  <c r="E132" i="13" s="1"/>
  <c r="E133" i="13" s="1"/>
  <c r="E134" i="13" s="1"/>
  <c r="E135" i="13" s="1"/>
  <c r="E136" i="13" s="1"/>
  <c r="F125" i="13"/>
  <c r="D65" i="13"/>
  <c r="F37" i="13"/>
  <c r="G52" i="13"/>
  <c r="E52" i="13"/>
  <c r="B53" i="13"/>
  <c r="C53" i="13" s="1"/>
  <c r="F38" i="13"/>
  <c r="D52" i="13"/>
  <c r="B84" i="13"/>
  <c r="B50" i="13"/>
  <c r="C50" i="13" s="1"/>
  <c r="G49" i="13"/>
  <c r="B96" i="11"/>
  <c r="B97" i="11" s="1"/>
  <c r="B98" i="11" s="1"/>
  <c r="B99" i="11" s="1"/>
  <c r="B92" i="11"/>
  <c r="B93" i="11" s="1"/>
  <c r="B94" i="11" s="1"/>
  <c r="B95" i="11" s="1"/>
  <c r="B100" i="11" s="1"/>
  <c r="B101" i="11" s="1"/>
  <c r="B102" i="11" s="1"/>
  <c r="B103" i="11" s="1"/>
  <c r="B47" i="11"/>
  <c r="B66" i="11"/>
  <c r="C42" i="11"/>
  <c r="C41" i="11"/>
  <c r="C38" i="11"/>
  <c r="C37" i="11"/>
  <c r="C34" i="11"/>
  <c r="C33" i="11"/>
  <c r="D42" i="11"/>
  <c r="I42" i="11" s="1"/>
  <c r="D41" i="11"/>
  <c r="I41" i="11" s="1"/>
  <c r="D38" i="11"/>
  <c r="D37" i="11"/>
  <c r="D34" i="11"/>
  <c r="G34" i="11" s="1"/>
  <c r="D33" i="11"/>
  <c r="G37" i="11" s="1"/>
  <c r="F14" i="11"/>
  <c r="G11" i="11"/>
  <c r="J11" i="11" s="1"/>
  <c r="G10" i="11"/>
  <c r="J10" i="11" s="1"/>
  <c r="G9" i="11"/>
  <c r="J9" i="11" s="1"/>
  <c r="F25" i="10"/>
  <c r="F24" i="10"/>
  <c r="F23" i="10"/>
  <c r="F22" i="10"/>
  <c r="F21" i="10"/>
  <c r="G21" i="10" s="1"/>
  <c r="F20" i="10"/>
  <c r="G20" i="10" s="1"/>
  <c r="F19" i="10"/>
  <c r="G19" i="10" s="1"/>
  <c r="F18" i="10"/>
  <c r="G18" i="10" s="1"/>
  <c r="F15" i="10"/>
  <c r="F16" i="10"/>
  <c r="F17" i="10"/>
  <c r="F14" i="10"/>
  <c r="F71" i="11" l="1"/>
  <c r="F73" i="11"/>
  <c r="F72" i="11"/>
  <c r="H125" i="13"/>
  <c r="I125" i="13"/>
  <c r="C102" i="13"/>
  <c r="C86" i="13"/>
  <c r="C104" i="13"/>
  <c r="C88" i="13"/>
  <c r="C101" i="13"/>
  <c r="C85" i="13"/>
  <c r="C103" i="13"/>
  <c r="C87" i="13"/>
  <c r="B48" i="11"/>
  <c r="C47" i="11"/>
  <c r="B52" i="11"/>
  <c r="G52" i="11" s="1"/>
  <c r="C51" i="11"/>
  <c r="F52" i="13"/>
  <c r="H52" i="13" s="1"/>
  <c r="I52" i="13" s="1"/>
  <c r="D51" i="13"/>
  <c r="F51" i="13" s="1"/>
  <c r="H51" i="13" s="1"/>
  <c r="I51" i="13" s="1"/>
  <c r="D85" i="13" s="1"/>
  <c r="F85" i="13" s="1"/>
  <c r="L85" i="13" s="1"/>
  <c r="D68" i="13"/>
  <c r="F68" i="13" s="1"/>
  <c r="H68" i="13" s="1"/>
  <c r="I68" i="13" s="1"/>
  <c r="D102" i="13" s="1"/>
  <c r="F102" i="13" s="1"/>
  <c r="L102" i="13" s="1"/>
  <c r="D67" i="13"/>
  <c r="F67" i="13" s="1"/>
  <c r="H67" i="13" s="1"/>
  <c r="I67" i="13" s="1"/>
  <c r="D69" i="13"/>
  <c r="F69" i="13" s="1"/>
  <c r="H69" i="13" s="1"/>
  <c r="I69" i="13" s="1"/>
  <c r="D103" i="13" s="1"/>
  <c r="F103" i="13" s="1"/>
  <c r="L103" i="13" s="1"/>
  <c r="D63" i="13"/>
  <c r="D64" i="13"/>
  <c r="G66" i="13"/>
  <c r="B71" i="13"/>
  <c r="C71" i="13" s="1"/>
  <c r="D66" i="13"/>
  <c r="G70" i="13"/>
  <c r="E70" i="13"/>
  <c r="D70" i="13"/>
  <c r="D50" i="13"/>
  <c r="B55" i="13"/>
  <c r="C55" i="13" s="1"/>
  <c r="G50" i="13"/>
  <c r="B89" i="13"/>
  <c r="D47" i="13"/>
  <c r="D48" i="13"/>
  <c r="D49" i="13"/>
  <c r="G53" i="13"/>
  <c r="E53" i="13"/>
  <c r="D53" i="13"/>
  <c r="B54" i="13"/>
  <c r="C54" i="13" s="1"/>
  <c r="F126" i="13"/>
  <c r="B88" i="13"/>
  <c r="G33" i="11"/>
  <c r="G47" i="11"/>
  <c r="G51" i="11"/>
  <c r="G48" i="11"/>
  <c r="C103" i="11"/>
  <c r="C102" i="11"/>
  <c r="C101" i="11"/>
  <c r="C100" i="11"/>
  <c r="C97" i="11"/>
  <c r="C98" i="11"/>
  <c r="C99" i="11"/>
  <c r="C96" i="11"/>
  <c r="C93" i="11"/>
  <c r="C94" i="11"/>
  <c r="C95" i="11"/>
  <c r="C92" i="11"/>
  <c r="E71" i="11"/>
  <c r="H97" i="11" s="1"/>
  <c r="J97" i="11" s="1"/>
  <c r="D103" i="11"/>
  <c r="D102" i="11"/>
  <c r="D101" i="11"/>
  <c r="D100" i="11"/>
  <c r="D99" i="11"/>
  <c r="D98" i="11"/>
  <c r="D97" i="11"/>
  <c r="D96" i="11"/>
  <c r="B71" i="11"/>
  <c r="D95" i="11"/>
  <c r="D94" i="11"/>
  <c r="D93" i="11"/>
  <c r="D92" i="11"/>
  <c r="B67" i="11"/>
  <c r="G5" i="11"/>
  <c r="G41" i="11"/>
  <c r="D86" i="13" l="1"/>
  <c r="F86" i="13" s="1"/>
  <c r="L86" i="13" s="1"/>
  <c r="D101" i="13"/>
  <c r="F101" i="13" s="1"/>
  <c r="L101" i="13" s="1"/>
  <c r="H126" i="13"/>
  <c r="I126" i="13"/>
  <c r="H103" i="11"/>
  <c r="J103" i="11" s="1"/>
  <c r="C88" i="11"/>
  <c r="E91" i="11" s="1"/>
  <c r="B53" i="11"/>
  <c r="C52" i="11"/>
  <c r="B49" i="11"/>
  <c r="C48" i="11"/>
  <c r="H86" i="13"/>
  <c r="H85" i="13"/>
  <c r="H103" i="13"/>
  <c r="H102" i="13"/>
  <c r="F70" i="13"/>
  <c r="H70" i="13" s="1"/>
  <c r="I70" i="13" s="1"/>
  <c r="D104" i="13" s="1"/>
  <c r="F104" i="13" s="1"/>
  <c r="L104" i="13" s="1"/>
  <c r="G71" i="13"/>
  <c r="B72" i="13"/>
  <c r="C72" i="13" s="1"/>
  <c r="D71" i="13"/>
  <c r="F127" i="13"/>
  <c r="G54" i="13"/>
  <c r="E54" i="13"/>
  <c r="D54" i="13"/>
  <c r="B90" i="13"/>
  <c r="F53" i="13"/>
  <c r="H53" i="13" s="1"/>
  <c r="I53" i="13" s="1"/>
  <c r="D87" i="13" s="1"/>
  <c r="F87" i="13" s="1"/>
  <c r="L87" i="13" s="1"/>
  <c r="G55" i="13"/>
  <c r="D55" i="13"/>
  <c r="B56" i="13"/>
  <c r="C56" i="13" s="1"/>
  <c r="E88" i="11"/>
  <c r="E92" i="11" s="1"/>
  <c r="E93" i="11" s="1"/>
  <c r="E94" i="11" s="1"/>
  <c r="E95" i="11" s="1"/>
  <c r="E96" i="11" s="1"/>
  <c r="E97" i="11" s="1"/>
  <c r="E98" i="11" s="1"/>
  <c r="E99" i="11" s="1"/>
  <c r="E100" i="11" s="1"/>
  <c r="E101" i="11" s="1"/>
  <c r="E102" i="11" s="1"/>
  <c r="E103" i="11" s="1"/>
  <c r="H5" i="11"/>
  <c r="E72" i="11"/>
  <c r="H98" i="11" s="1"/>
  <c r="J98" i="11" s="1"/>
  <c r="H96" i="11"/>
  <c r="J96" i="11" s="1"/>
  <c r="E66" i="11"/>
  <c r="H92" i="11" s="1"/>
  <c r="J92" i="11" s="1"/>
  <c r="E68" i="11"/>
  <c r="H94" i="11" s="1"/>
  <c r="J94" i="11" s="1"/>
  <c r="H100" i="11"/>
  <c r="J100" i="11" s="1"/>
  <c r="H102" i="11"/>
  <c r="J102" i="11" s="1"/>
  <c r="E69" i="11"/>
  <c r="H95" i="11" s="1"/>
  <c r="J95" i="11" s="1"/>
  <c r="E67" i="11"/>
  <c r="H93" i="11" s="1"/>
  <c r="J93" i="11" s="1"/>
  <c r="E73" i="11"/>
  <c r="H99" i="11" s="1"/>
  <c r="J99" i="11" s="1"/>
  <c r="H101" i="11"/>
  <c r="J101" i="11" s="1"/>
  <c r="E37" i="11"/>
  <c r="C105" i="11"/>
  <c r="H42" i="11"/>
  <c r="E61" i="11" s="1"/>
  <c r="E38" i="11"/>
  <c r="G38" i="11"/>
  <c r="G42" i="11" s="1"/>
  <c r="B68" i="11"/>
  <c r="B72" i="11"/>
  <c r="L110" i="13" l="1"/>
  <c r="H101" i="13"/>
  <c r="H127" i="13"/>
  <c r="I127" i="13"/>
  <c r="J105" i="11"/>
  <c r="B50" i="11"/>
  <c r="C49" i="11"/>
  <c r="G49" i="11"/>
  <c r="B54" i="11"/>
  <c r="C53" i="11"/>
  <c r="G53" i="11"/>
  <c r="H87" i="13"/>
  <c r="H104" i="13"/>
  <c r="F54" i="13"/>
  <c r="H54" i="13" s="1"/>
  <c r="I54" i="13" s="1"/>
  <c r="D88" i="13" s="1"/>
  <c r="F88" i="13" s="1"/>
  <c r="G72" i="13"/>
  <c r="B73" i="13"/>
  <c r="C73" i="13" s="1"/>
  <c r="D72" i="13"/>
  <c r="B91" i="13"/>
  <c r="G56" i="13"/>
  <c r="D56" i="13"/>
  <c r="B57" i="13"/>
  <c r="C57" i="13" s="1"/>
  <c r="F128" i="13"/>
  <c r="E52" i="11"/>
  <c r="E51" i="11"/>
  <c r="E54" i="11"/>
  <c r="E53" i="11"/>
  <c r="F38" i="11"/>
  <c r="F37" i="11"/>
  <c r="F41" i="11" s="1"/>
  <c r="F92" i="11"/>
  <c r="B73" i="11"/>
  <c r="B69" i="11"/>
  <c r="F42" i="11" l="1"/>
  <c r="D61" i="11" s="1"/>
  <c r="F61" i="11" s="1"/>
  <c r="H61" i="11" s="1"/>
  <c r="I61" i="11" s="1"/>
  <c r="L88" i="13"/>
  <c r="L94" i="13" s="1"/>
  <c r="D49" i="11"/>
  <c r="H128" i="13"/>
  <c r="I128" i="13"/>
  <c r="D47" i="11"/>
  <c r="G54" i="11"/>
  <c r="C54" i="11"/>
  <c r="B55" i="11"/>
  <c r="C50" i="11"/>
  <c r="G50" i="11"/>
  <c r="H88" i="13"/>
  <c r="G73" i="13"/>
  <c r="B74" i="13"/>
  <c r="C74" i="13" s="1"/>
  <c r="D73" i="13"/>
  <c r="G57" i="13"/>
  <c r="D57" i="13"/>
  <c r="B58" i="13"/>
  <c r="C58" i="13" s="1"/>
  <c r="F129" i="13"/>
  <c r="B92" i="13"/>
  <c r="D54" i="11"/>
  <c r="B74" i="11"/>
  <c r="F93" i="11"/>
  <c r="G92" i="11"/>
  <c r="K92" i="11" s="1"/>
  <c r="F7" i="10"/>
  <c r="G14" i="10" l="1"/>
  <c r="G25" i="10"/>
  <c r="G16" i="10"/>
  <c r="G24" i="10"/>
  <c r="G15" i="10"/>
  <c r="G22" i="10"/>
  <c r="G17" i="10"/>
  <c r="G23" i="10"/>
  <c r="D52" i="11"/>
  <c r="F52" i="11" s="1"/>
  <c r="H52" i="11" s="1"/>
  <c r="I52" i="11" s="1"/>
  <c r="D53" i="11"/>
  <c r="F53" i="11" s="1"/>
  <c r="H53" i="11" s="1"/>
  <c r="I53" i="11" s="1"/>
  <c r="D51" i="11"/>
  <c r="F51" i="11" s="1"/>
  <c r="H51" i="11" s="1"/>
  <c r="I51" i="11" s="1"/>
  <c r="D48" i="11"/>
  <c r="D50" i="11"/>
  <c r="H129" i="13"/>
  <c r="I129" i="13"/>
  <c r="H41" i="11"/>
  <c r="H41" i="13"/>
  <c r="E74" i="13" s="1"/>
  <c r="B56" i="11"/>
  <c r="C55" i="11"/>
  <c r="G55" i="11"/>
  <c r="D55" i="11"/>
  <c r="G74" i="13"/>
  <c r="D74" i="13"/>
  <c r="F130" i="13"/>
  <c r="G58" i="13"/>
  <c r="D58" i="13"/>
  <c r="C73" i="11"/>
  <c r="C70" i="11"/>
  <c r="C72" i="11"/>
  <c r="C71" i="11"/>
  <c r="F54" i="11"/>
  <c r="H54" i="11" s="1"/>
  <c r="I54" i="11" s="1"/>
  <c r="G93" i="11"/>
  <c r="K93" i="11" s="1"/>
  <c r="F94" i="11"/>
  <c r="B75" i="11"/>
  <c r="E58" i="13" l="1"/>
  <c r="F58" i="13" s="1"/>
  <c r="H58" i="13" s="1"/>
  <c r="I58" i="13" s="1"/>
  <c r="H130" i="13"/>
  <c r="I130" i="13"/>
  <c r="C107" i="13"/>
  <c r="C91" i="13"/>
  <c r="C108" i="13"/>
  <c r="C92" i="13"/>
  <c r="C105" i="13"/>
  <c r="C89" i="13"/>
  <c r="C97" i="13"/>
  <c r="C81" i="13"/>
  <c r="E47" i="13"/>
  <c r="F47" i="13" s="1"/>
  <c r="H47" i="13" s="1"/>
  <c r="I47" i="13" s="1"/>
  <c r="E63" i="13"/>
  <c r="F63" i="13" s="1"/>
  <c r="H63" i="13" s="1"/>
  <c r="I63" i="13" s="1"/>
  <c r="E64" i="13"/>
  <c r="F64" i="13" s="1"/>
  <c r="H64" i="13" s="1"/>
  <c r="I64" i="13" s="1"/>
  <c r="E48" i="13"/>
  <c r="F48" i="13" s="1"/>
  <c r="H48" i="13" s="1"/>
  <c r="I48" i="13" s="1"/>
  <c r="E49" i="13"/>
  <c r="F49" i="13" s="1"/>
  <c r="H49" i="13" s="1"/>
  <c r="I49" i="13" s="1"/>
  <c r="E65" i="13"/>
  <c r="F65" i="13" s="1"/>
  <c r="H65" i="13" s="1"/>
  <c r="I65" i="13" s="1"/>
  <c r="E66" i="13"/>
  <c r="F66" i="13" s="1"/>
  <c r="H66" i="13" s="1"/>
  <c r="I66" i="13" s="1"/>
  <c r="E50" i="13"/>
  <c r="F50" i="13" s="1"/>
  <c r="H50" i="13" s="1"/>
  <c r="I50" i="13" s="1"/>
  <c r="E71" i="13"/>
  <c r="F71" i="13" s="1"/>
  <c r="H71" i="13" s="1"/>
  <c r="I71" i="13" s="1"/>
  <c r="E55" i="13"/>
  <c r="F55" i="13" s="1"/>
  <c r="H55" i="13" s="1"/>
  <c r="I55" i="13" s="1"/>
  <c r="E72" i="13"/>
  <c r="F72" i="13" s="1"/>
  <c r="H72" i="13" s="1"/>
  <c r="I72" i="13" s="1"/>
  <c r="E56" i="13"/>
  <c r="F56" i="13" s="1"/>
  <c r="H56" i="13" s="1"/>
  <c r="I56" i="13" s="1"/>
  <c r="E73" i="13"/>
  <c r="F73" i="13" s="1"/>
  <c r="H73" i="13" s="1"/>
  <c r="I73" i="13" s="1"/>
  <c r="E57" i="13"/>
  <c r="F57" i="13" s="1"/>
  <c r="H57" i="13" s="1"/>
  <c r="I57" i="13" s="1"/>
  <c r="C106" i="13"/>
  <c r="C90" i="13"/>
  <c r="C98" i="13"/>
  <c r="C82" i="13"/>
  <c r="C99" i="13"/>
  <c r="C83" i="13"/>
  <c r="C100" i="13"/>
  <c r="C84" i="13"/>
  <c r="B57" i="11"/>
  <c r="C56" i="11"/>
  <c r="G56" i="11"/>
  <c r="D56" i="11"/>
  <c r="F74" i="13"/>
  <c r="H74" i="13" s="1"/>
  <c r="I74" i="13" s="1"/>
  <c r="F131" i="13"/>
  <c r="D71" i="11"/>
  <c r="G71" i="11" s="1"/>
  <c r="D70" i="11"/>
  <c r="G70" i="11" s="1"/>
  <c r="D73" i="11"/>
  <c r="G73" i="11" s="1"/>
  <c r="D72" i="11"/>
  <c r="G72" i="11" s="1"/>
  <c r="E48" i="11"/>
  <c r="F48" i="11" s="1"/>
  <c r="H48" i="11" s="1"/>
  <c r="I48" i="11" s="1"/>
  <c r="E56" i="11"/>
  <c r="E47" i="11"/>
  <c r="F47" i="11" s="1"/>
  <c r="H47" i="11" s="1"/>
  <c r="I47" i="11" s="1"/>
  <c r="E55" i="11"/>
  <c r="F55" i="11" s="1"/>
  <c r="H55" i="11" s="1"/>
  <c r="I55" i="11" s="1"/>
  <c r="E50" i="11"/>
  <c r="F50" i="11" s="1"/>
  <c r="H50" i="11" s="1"/>
  <c r="I50" i="11" s="1"/>
  <c r="E57" i="11"/>
  <c r="E49" i="11"/>
  <c r="F49" i="11" s="1"/>
  <c r="H49" i="11" s="1"/>
  <c r="I49" i="11" s="1"/>
  <c r="C66" i="11"/>
  <c r="C68" i="11"/>
  <c r="C74" i="11"/>
  <c r="C76" i="11"/>
  <c r="C67" i="11"/>
  <c r="C69" i="11"/>
  <c r="C75" i="11"/>
  <c r="C77" i="11"/>
  <c r="B76" i="11"/>
  <c r="F95" i="11"/>
  <c r="G94" i="11"/>
  <c r="K94" i="11" s="1"/>
  <c r="G27" i="10"/>
  <c r="D92" i="13" l="1"/>
  <c r="F92" i="13" s="1"/>
  <c r="H131" i="13"/>
  <c r="I131" i="13"/>
  <c r="D108" i="13"/>
  <c r="F108" i="13" s="1"/>
  <c r="D107" i="13"/>
  <c r="F107" i="13" s="1"/>
  <c r="D105" i="13"/>
  <c r="F105" i="13" s="1"/>
  <c r="D81" i="13"/>
  <c r="D106" i="13"/>
  <c r="F106" i="13" s="1"/>
  <c r="D100" i="13"/>
  <c r="D83" i="13"/>
  <c r="D98" i="13"/>
  <c r="C110" i="13"/>
  <c r="C112" i="13" s="1"/>
  <c r="D91" i="13"/>
  <c r="F91" i="13" s="1"/>
  <c r="D90" i="13"/>
  <c r="F90" i="13" s="1"/>
  <c r="D89" i="13"/>
  <c r="F89" i="13" s="1"/>
  <c r="D84" i="13"/>
  <c r="D99" i="13"/>
  <c r="D82" i="13"/>
  <c r="D97" i="13"/>
  <c r="C94" i="13"/>
  <c r="B58" i="11"/>
  <c r="C57" i="11"/>
  <c r="G57" i="11"/>
  <c r="D57" i="11"/>
  <c r="H92" i="13"/>
  <c r="F132" i="13"/>
  <c r="D67" i="11"/>
  <c r="G67" i="11" s="1"/>
  <c r="D66" i="11"/>
  <c r="G66" i="11" s="1"/>
  <c r="D69" i="11"/>
  <c r="G69" i="11" s="1"/>
  <c r="D74" i="11"/>
  <c r="G74" i="11" s="1"/>
  <c r="D68" i="11"/>
  <c r="G68" i="11" s="1"/>
  <c r="C79" i="11"/>
  <c r="F56" i="11"/>
  <c r="H56" i="11" s="1"/>
  <c r="G95" i="11"/>
  <c r="K95" i="11" s="1"/>
  <c r="F96" i="11"/>
  <c r="B77" i="11"/>
  <c r="F97" i="13" l="1"/>
  <c r="H97" i="13" s="1"/>
  <c r="F99" i="13"/>
  <c r="H99" i="13" s="1"/>
  <c r="F98" i="13"/>
  <c r="H98" i="13" s="1"/>
  <c r="F100" i="13"/>
  <c r="H100" i="13" s="1"/>
  <c r="H108" i="13"/>
  <c r="H107" i="13"/>
  <c r="H106" i="13"/>
  <c r="H105" i="13"/>
  <c r="F82" i="13"/>
  <c r="H82" i="13" s="1"/>
  <c r="F84" i="13"/>
  <c r="H84" i="13" s="1"/>
  <c r="F83" i="13"/>
  <c r="H83" i="13" s="1"/>
  <c r="H89" i="13"/>
  <c r="H91" i="13"/>
  <c r="F81" i="13"/>
  <c r="H81" i="13" s="1"/>
  <c r="H132" i="13"/>
  <c r="I132" i="13"/>
  <c r="D94" i="13"/>
  <c r="D110" i="13"/>
  <c r="D112" i="13" s="1"/>
  <c r="H90" i="13"/>
  <c r="G58" i="11"/>
  <c r="C58" i="11"/>
  <c r="D58" i="11"/>
  <c r="E58" i="11"/>
  <c r="F133" i="13"/>
  <c r="I56" i="11"/>
  <c r="D75" i="11" s="1"/>
  <c r="G75" i="11" s="1"/>
  <c r="F57" i="11"/>
  <c r="H57" i="11" s="1"/>
  <c r="F97" i="11"/>
  <c r="G96" i="11"/>
  <c r="K96" i="11" s="1"/>
  <c r="H110" i="13" l="1"/>
  <c r="H94" i="13"/>
  <c r="H133" i="13"/>
  <c r="I133" i="13"/>
  <c r="F134" i="13"/>
  <c r="I57" i="11"/>
  <c r="D76" i="11" s="1"/>
  <c r="G76" i="11" s="1"/>
  <c r="F58" i="11"/>
  <c r="H58" i="11" s="1"/>
  <c r="G97" i="11"/>
  <c r="K97" i="11" s="1"/>
  <c r="F98" i="11"/>
  <c r="H112" i="13" l="1"/>
  <c r="H134" i="13"/>
  <c r="I134" i="13"/>
  <c r="F135" i="13"/>
  <c r="I58" i="11"/>
  <c r="D77" i="11" s="1"/>
  <c r="G77" i="11" s="1"/>
  <c r="G79" i="11" s="1"/>
  <c r="F99" i="11"/>
  <c r="G98" i="11"/>
  <c r="K98" i="11" s="1"/>
  <c r="H135" i="13" l="1"/>
  <c r="I135" i="13"/>
  <c r="F136" i="13"/>
  <c r="D79" i="11"/>
  <c r="G99" i="11"/>
  <c r="K99" i="11" s="1"/>
  <c r="F100" i="11"/>
  <c r="H136" i="13" l="1"/>
  <c r="I136" i="13"/>
  <c r="I138" i="13" s="1"/>
  <c r="F101" i="11"/>
  <c r="G100" i="11"/>
  <c r="K100" i="11" s="1"/>
  <c r="J138" i="13" l="1"/>
  <c r="H138" i="13"/>
  <c r="F140" i="13"/>
  <c r="I2" i="13" s="1"/>
  <c r="G101" i="11"/>
  <c r="K101" i="11" s="1"/>
  <c r="F102" i="11"/>
  <c r="F103" i="11" l="1"/>
  <c r="G103" i="11" s="1"/>
  <c r="K103" i="11" s="1"/>
  <c r="G102" i="11"/>
  <c r="K102" i="11" s="1"/>
  <c r="K105" i="11" l="1"/>
  <c r="F109" i="11" s="1"/>
  <c r="K2" i="11" s="1"/>
  <c r="G105" i="11"/>
</calcChain>
</file>

<file path=xl/comments1.xml><?xml version="1.0" encoding="utf-8"?>
<comments xmlns="http://schemas.openxmlformats.org/spreadsheetml/2006/main">
  <authors>
    <author>Juan Carlos Benitez</author>
  </authors>
  <commentList>
    <comment ref="D6" authorId="0" shapeId="0">
      <text>
        <r>
          <rPr>
            <b/>
            <sz val="9"/>
            <color indexed="81"/>
            <rFont val="Tahoma"/>
            <family val="2"/>
          </rPr>
          <t>Valores a Definir por la SEE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9"/>
            <color indexed="81"/>
            <rFont val="Tahoma"/>
            <family val="2"/>
          </rPr>
          <t xml:space="preserve">Costo Variable No Combustible (Costos Referencia PBC)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7" authorId="0" shapeId="0">
      <text>
        <r>
          <rPr>
            <b/>
            <sz val="9"/>
            <color indexed="81"/>
            <rFont val="Tahoma"/>
            <family val="2"/>
          </rPr>
          <t xml:space="preserve"> kcal/MBTU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8" authorId="0" shapeId="0">
      <text>
        <r>
          <rPr>
            <b/>
            <sz val="9"/>
            <color indexed="81"/>
            <rFont val="Tahoma"/>
            <family val="2"/>
          </rPr>
          <t xml:space="preserve"> kcal/m3</t>
        </r>
      </text>
    </comment>
    <comment ref="F9" authorId="0" shapeId="0">
      <text>
        <r>
          <rPr>
            <b/>
            <sz val="9"/>
            <color indexed="81"/>
            <rFont val="Tahoma"/>
            <family val="2"/>
          </rPr>
          <t xml:space="preserve"> kcal/ton</t>
        </r>
      </text>
    </comment>
    <comment ref="F13" authorId="0" shapeId="0">
      <text>
        <r>
          <rPr>
            <b/>
            <sz val="9"/>
            <color indexed="81"/>
            <rFont val="Tahoma"/>
            <family val="2"/>
          </rPr>
          <t>No Combustible CMAR Referencia</t>
        </r>
      </text>
    </comment>
  </commentList>
</comments>
</file>

<file path=xl/comments2.xml><?xml version="1.0" encoding="utf-8"?>
<comments xmlns="http://schemas.openxmlformats.org/spreadsheetml/2006/main">
  <authors>
    <author>Juan Carlos Benitez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Representa el equipamiento Nuevo a Incorporar para el Cierre de Ciclo siendo la Potencia a Contratar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8" authorId="0" shapeId="0">
      <text>
        <r>
          <rPr>
            <b/>
            <sz val="9"/>
            <color indexed="81"/>
            <rFont val="Tahoma"/>
            <family val="2"/>
          </rPr>
          <t>Equipamiento Existente que comnpone el Ciclo Combinado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" authorId="0" shapeId="0">
      <text>
        <r>
          <rPr>
            <b/>
            <sz val="9"/>
            <color indexed="81"/>
            <rFont val="Tahoma"/>
            <family val="2"/>
          </rPr>
          <t>Potencia Entregada a la Red por el Ciclo Combinado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4" authorId="0" shapeId="0">
      <text>
        <r>
          <rPr>
            <b/>
            <sz val="9"/>
            <color indexed="81"/>
            <rFont val="Tahoma"/>
            <family val="2"/>
          </rPr>
          <t>Se utiliza para los valores de perdidas y fletes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4" authorId="0" shapeId="0">
      <text>
        <r>
          <rPr>
            <b/>
            <sz val="9"/>
            <color indexed="81"/>
            <rFont val="Tahoma"/>
            <family val="2"/>
          </rPr>
          <t>Costo Variable No Combustible Oferta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2" authorId="0" shapeId="0">
      <text>
        <r>
          <rPr>
            <b/>
            <sz val="9"/>
            <color indexed="81"/>
            <rFont val="Tahoma"/>
            <family val="2"/>
          </rPr>
          <t>Costo Flete Combustible consuderado en la evalluación Oferta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40" authorId="0" shapeId="0">
      <text>
        <r>
          <rPr>
            <b/>
            <sz val="9"/>
            <color indexed="81"/>
            <rFont val="Tahoma"/>
            <family val="2"/>
          </rPr>
          <t>% Precio Combustible Referencia:
 Solo Válido si el Combustible es Provisto por el Generador.
Representa el % del valor del combustible respecto al de referencia.
Combustible Propio = (Costo Comb * %Ofertado x CESP / PCAL + OyM).
Es decir que incluye el Flete</t>
        </r>
      </text>
    </comment>
    <comment ref="G40" authorId="0" shapeId="0">
      <text>
        <r>
          <rPr>
            <b/>
            <sz val="9"/>
            <color indexed="81"/>
            <rFont val="Tahoma"/>
            <family val="2"/>
          </rPr>
          <t>Precio de Combustible mas flete utilizado para calcular el costo variable de producción del equipo ofertado.
Cálculado como:
Precio Combustible x % Prec Ref. + Costo Variable NO Combustible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1" authorId="0" shapeId="0">
      <text>
        <r>
          <rPr>
            <b/>
            <sz val="9"/>
            <color indexed="81"/>
            <rFont val="Tahoma"/>
            <family val="2"/>
          </rPr>
          <t xml:space="preserve">Pot NO Contratada = Pot Despachada - Pot Contratada
</t>
        </r>
      </text>
    </comment>
  </commentList>
</comments>
</file>

<file path=xl/comments3.xml><?xml version="1.0" encoding="utf-8"?>
<comments xmlns="http://schemas.openxmlformats.org/spreadsheetml/2006/main">
  <authors>
    <author>Juan Carlos Benitez</author>
  </authors>
  <commentList>
    <comment ref="D14" authorId="0" shapeId="0">
      <text>
        <r>
          <rPr>
            <b/>
            <sz val="9"/>
            <color indexed="81"/>
            <rFont val="Tahoma"/>
            <family val="2"/>
          </rPr>
          <t>Se utiliza para los valores de perdidas y fletes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4" authorId="0" shapeId="0">
      <text>
        <r>
          <rPr>
            <b/>
            <sz val="9"/>
            <color indexed="81"/>
            <rFont val="Tahoma"/>
            <family val="2"/>
          </rPr>
          <t>Costo Variable No Combustible Oferta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2" authorId="0" shapeId="0">
      <text>
        <r>
          <rPr>
            <b/>
            <sz val="9"/>
            <color indexed="81"/>
            <rFont val="Tahoma"/>
            <family val="2"/>
          </rPr>
          <t>Costo Flete Combustible consuderado en la evalluación Oferta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40" authorId="0" shapeId="0">
      <text>
        <r>
          <rPr>
            <b/>
            <sz val="9"/>
            <color indexed="81"/>
            <rFont val="Tahoma"/>
            <family val="2"/>
          </rPr>
          <t xml:space="preserve">% Precio Combustible Referencia:
 100% en el caso Combustible provisto por CAMMESA
Si el Combustible es Provisto por el Generador, representa el % del valor del combustible respecto al de referencia.
</t>
        </r>
      </text>
    </comment>
    <comment ref="G40" authorId="0" shapeId="0">
      <text>
        <r>
          <rPr>
            <b/>
            <sz val="9"/>
            <color indexed="81"/>
            <rFont val="Tahoma"/>
            <family val="2"/>
          </rPr>
          <t>Precio de Combustible mas flete utilizado para calcular el costo variable de producción del equipo ofertado.
Cálculado como:
Precio Combustible x % Prec Ref. + Costo Variable NO Combustible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24" authorId="0" shapeId="0">
      <text>
        <r>
          <rPr>
            <b/>
            <sz val="9"/>
            <color indexed="81"/>
            <rFont val="Tahoma"/>
            <family val="2"/>
          </rPr>
          <t>En el cálculo el % de tiempo de funcionamiento como Ciclo Cerrado se lo valoriza al Costo Final U$S/Mwmes.
Mientras que al resto del período que funciona como ciclo abierto se lo valoriza al 50% del Costo Final U$S/MWmes</t>
        </r>
      </text>
    </comment>
    <comment ref="I124" authorId="0" shapeId="0">
      <text>
        <r>
          <rPr>
            <b/>
            <sz val="9"/>
            <color indexed="81"/>
            <rFont val="Tahoma"/>
            <family val="2"/>
          </rPr>
          <t>En el cálculo el % de tiempo de funcionamiento como Ciclo Cerrado se lo valoriza al Costo Final U$S/Mwmes.
Mientras que al resto del período que funciona como ciclo abierto se lo valoriza al 50% del Costo Final U$S/MWmes</t>
        </r>
      </text>
    </comment>
    <comment ref="J124" authorId="0" shapeId="0">
      <text>
        <r>
          <rPr>
            <b/>
            <sz val="9"/>
            <color indexed="81"/>
            <rFont val="Tahoma"/>
            <family val="2"/>
          </rPr>
          <t>En el cálculo el % de tiempo de funcionamiento como Ciclo Cerrado se lo valoriza al Costo Final U$S/Mwmes.
Mientras que al resto del período que funciona como ciclo abierto se lo valoriza al 50% del Costo Final U$S/MWmes</t>
        </r>
      </text>
    </comment>
  </commentList>
</comments>
</file>

<file path=xl/sharedStrings.xml><?xml version="1.0" encoding="utf-8"?>
<sst xmlns="http://schemas.openxmlformats.org/spreadsheetml/2006/main" count="733" uniqueCount="319">
  <si>
    <t>ID</t>
  </si>
  <si>
    <t>PDI</t>
  </si>
  <si>
    <t>ÁREA/CORREDOR</t>
  </si>
  <si>
    <t>IDENTIF.</t>
  </si>
  <si>
    <t>TENSIÓN (kV)</t>
  </si>
  <si>
    <t>FACTOR DE PÉRDIDAS</t>
  </si>
  <si>
    <t>POTENCIAS MÁXIMAS POR PDI O LIMITACIÓN</t>
  </si>
  <si>
    <t>POTENCIA MÁXIMA EN PDI [MW]</t>
  </si>
  <si>
    <t>LIMITACIÓN 1 (MW)</t>
  </si>
  <si>
    <t>LIMITACIÓN 2 (MW)</t>
  </si>
  <si>
    <t>NOMBRE</t>
  </si>
  <si>
    <t>TIPO</t>
  </si>
  <si>
    <t>CORREDOR DE LA COSTA</t>
  </si>
  <si>
    <t>CT TANDIL (Barker)</t>
  </si>
  <si>
    <t>E.T.</t>
  </si>
  <si>
    <t>OLAVARRÍA</t>
  </si>
  <si>
    <t>9 DE JULIO</t>
  </si>
  <si>
    <t>VILLA GESELL</t>
  </si>
  <si>
    <t>OLAVARRÍA 500 KV</t>
  </si>
  <si>
    <t>CORREDOR COMAHUE</t>
  </si>
  <si>
    <t>MEGA</t>
  </si>
  <si>
    <t>COMAHUE</t>
  </si>
  <si>
    <t>FILO MORADO</t>
  </si>
  <si>
    <t xml:space="preserve">LOMA DE LA LATA </t>
  </si>
  <si>
    <t>HENDERSON 500 kV</t>
  </si>
  <si>
    <t>HENDERSON</t>
  </si>
  <si>
    <t>INDIO RICO</t>
  </si>
  <si>
    <t>BAHÍA BLANCA</t>
  </si>
  <si>
    <t>CHOELE CHOEL</t>
  </si>
  <si>
    <t>BAHÍA BLANCA 500 kV</t>
  </si>
  <si>
    <t>CUYO</t>
  </si>
  <si>
    <t>LUJAN DE CUYO</t>
  </si>
  <si>
    <t>CRUZ DE PIEDRA 132 kV (200)</t>
  </si>
  <si>
    <t>ET G. MENDOZA 500 kV (800)</t>
  </si>
  <si>
    <t>GRAN MENDOZA</t>
  </si>
  <si>
    <t>ET RÍO DIAMANTE 500 KV (800)</t>
  </si>
  <si>
    <t>RÍO DIAMANTE</t>
  </si>
  <si>
    <t>NOA</t>
  </si>
  <si>
    <t>LA RIOJA NORTE</t>
  </si>
  <si>
    <t>EXPORTACIÓN NOA 500 KV (0)</t>
  </si>
  <si>
    <t>NOA (0)</t>
  </si>
  <si>
    <t>LA RIOJA SUR</t>
  </si>
  <si>
    <t>GÜEMES</t>
  </si>
  <si>
    <t>COBOS</t>
  </si>
  <si>
    <t>INDEPENDENCIA</t>
  </si>
  <si>
    <t>EL BRACHO</t>
  </si>
  <si>
    <t>EL BRACHO 500 kV</t>
  </si>
  <si>
    <t>CENTRO</t>
  </si>
  <si>
    <t>MARANZANA II</t>
  </si>
  <si>
    <t>13 DE JULIO</t>
  </si>
  <si>
    <t>ALMAFUERTE</t>
  </si>
  <si>
    <t>VILLA MARÍA</t>
  </si>
  <si>
    <t>ARROYO CABRAL</t>
  </si>
  <si>
    <t>MALVINAS</t>
  </si>
  <si>
    <t>LITORAL</t>
  </si>
  <si>
    <t>PUERTO SAN MARTÍN</t>
  </si>
  <si>
    <t>RÍO CORONDA</t>
  </si>
  <si>
    <t>SORRENTO</t>
  </si>
  <si>
    <t>GENERAL LAGOS</t>
  </si>
  <si>
    <t>ZONA ROSARIO SUR (170)</t>
  </si>
  <si>
    <t>CARGILL</t>
  </si>
  <si>
    <t>SIPAR</t>
  </si>
  <si>
    <t>ROSARIO OESTE</t>
  </si>
  <si>
    <t>SAN PEDRO</t>
  </si>
  <si>
    <t>ZONA SAN PEDRO/ZARATE (140)</t>
  </si>
  <si>
    <t>ZONA RAMALLO/ZARATE (200)</t>
  </si>
  <si>
    <t>GBA (1600)</t>
  </si>
  <si>
    <t>LAS PALMAS</t>
  </si>
  <si>
    <t>RAMALLO INDUSTRIAL</t>
  </si>
  <si>
    <t>ROJO</t>
  </si>
  <si>
    <t xml:space="preserve">RAMALLO </t>
  </si>
  <si>
    <t>RAMALLO 500 KV</t>
  </si>
  <si>
    <t>GBA</t>
  </si>
  <si>
    <t>BELGRANO II 500 KV</t>
  </si>
  <si>
    <t>ET BELGRANO II 500 KV (500)</t>
  </si>
  <si>
    <t>COSTANERA</t>
  </si>
  <si>
    <t>220/132</t>
  </si>
  <si>
    <t>SHELL</t>
  </si>
  <si>
    <t>DESTILERIA YPF (EDELAP)</t>
  </si>
  <si>
    <t>ABASTO 500 KV</t>
  </si>
  <si>
    <t>SPEGAZZINI</t>
  </si>
  <si>
    <t>E.T</t>
  </si>
  <si>
    <t>EZEIZA</t>
  </si>
  <si>
    <t>EZEIZA 500 KV</t>
  </si>
  <si>
    <t>IT</t>
  </si>
  <si>
    <t>Gas</t>
  </si>
  <si>
    <t>Alternativo</t>
  </si>
  <si>
    <t>% Precio Ref</t>
  </si>
  <si>
    <t>Gas Oil</t>
  </si>
  <si>
    <t>Fuel Oil</t>
  </si>
  <si>
    <t>U$S/m3</t>
  </si>
  <si>
    <t>U$S/ton</t>
  </si>
  <si>
    <t>Base</t>
  </si>
  <si>
    <t>Factor Uso Evaluación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</si>
  <si>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</si>
  <si>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</si>
  <si>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</si>
  <si>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</si>
  <si>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</si>
  <si>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</si>
  <si>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</si>
  <si>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</si>
  <si>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</si>
  <si>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</si>
  <si>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</si>
  <si>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</si>
  <si>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HS Mes</t>
  </si>
  <si>
    <t xml:space="preserve">Promedio Anual </t>
  </si>
  <si>
    <t>% Funcio. Ciclo Cerrado</t>
  </si>
  <si>
    <t>U$S/Mbtu</t>
  </si>
  <si>
    <t>U$S/uc</t>
  </si>
  <si>
    <t>Costo U$S/MW mes OFERTADO</t>
  </si>
  <si>
    <t>U$S/MW mes</t>
  </si>
  <si>
    <t>Atraso</t>
  </si>
  <si>
    <t>Adelanto</t>
  </si>
  <si>
    <t>Combustible</t>
  </si>
  <si>
    <t>Período</t>
  </si>
  <si>
    <t>May - Ago</t>
  </si>
  <si>
    <t>Beneficio U$S</t>
  </si>
  <si>
    <t>MW</t>
  </si>
  <si>
    <t>% Funcionamiento a Ciclo Cerrado</t>
  </si>
  <si>
    <t>Proyecto Cogeneración</t>
  </si>
  <si>
    <t>Beneficio / Penalización por Fecha de Ingreso</t>
  </si>
  <si>
    <t>Costos Combustibles de Referencia</t>
  </si>
  <si>
    <t xml:space="preserve">Relación Beneficio / Costo   </t>
  </si>
  <si>
    <t/>
  </si>
  <si>
    <t>Terrestre GO</t>
  </si>
  <si>
    <t>Fluvial GO</t>
  </si>
  <si>
    <t>Terrestre FO</t>
  </si>
  <si>
    <t>Fluvial FO</t>
  </si>
  <si>
    <t>Mes</t>
  </si>
  <si>
    <t>Tipo Combustible</t>
  </si>
  <si>
    <t xml:space="preserve"> </t>
  </si>
  <si>
    <t>CMARG Ref U$S/MWh</t>
  </si>
  <si>
    <t>Combustible Propio</t>
  </si>
  <si>
    <t>Comodoro Rivadavia A/A1</t>
  </si>
  <si>
    <t>Patagonia</t>
  </si>
  <si>
    <t>Relación Potencia TV / CC</t>
  </si>
  <si>
    <t xml:space="preserve">Combustible </t>
  </si>
  <si>
    <t xml:space="preserve">Titulo II Capitulo 10 </t>
  </si>
  <si>
    <t>10.2 Costos Marginales de Referencia</t>
  </si>
  <si>
    <t>Precio Combustible</t>
  </si>
  <si>
    <t>Factor de Despacho</t>
  </si>
  <si>
    <t>TV</t>
  </si>
  <si>
    <t>TG</t>
  </si>
  <si>
    <t>VERANO [MW]</t>
  </si>
  <si>
    <t>INVIERNO [MW]</t>
  </si>
  <si>
    <t>Ene - Abr</t>
  </si>
  <si>
    <t>Sep - Dic</t>
  </si>
  <si>
    <t>Ciclo</t>
  </si>
  <si>
    <t>Se utiliza para los valores de perdidas y fletes</t>
  </si>
  <si>
    <t>Factor de Pérdidas</t>
  </si>
  <si>
    <t>Meses</t>
  </si>
  <si>
    <t>Objetivo</t>
  </si>
  <si>
    <t>SI</t>
  </si>
  <si>
    <t>NO</t>
  </si>
  <si>
    <t>Fecha Objetivo Ingreso [Meses desde Firma Comtrato]</t>
  </si>
  <si>
    <t>Declarado</t>
  </si>
  <si>
    <r>
      <t>Fecha Objetivo Ingreso</t>
    </r>
    <r>
      <rPr>
        <b/>
        <sz val="9"/>
        <rFont val="Arial"/>
        <family val="2"/>
      </rPr>
      <t xml:space="preserve"> [Meses desde Firma Comtrato]</t>
    </r>
  </si>
  <si>
    <t>Precio Comb Declarado + Flete</t>
  </si>
  <si>
    <t>10.3. Determinación de los Costos Variables Ofertados</t>
  </si>
  <si>
    <t>10.4. Determinación de los Beneficios Operativos</t>
  </si>
  <si>
    <t>10.5. Relación Beneficio – Costo – Ordenamiento de Ofertas</t>
  </si>
  <si>
    <t xml:space="preserve">U$S/MW mes </t>
  </si>
  <si>
    <t>Costo TOTAL</t>
  </si>
  <si>
    <t xml:space="preserve">Precio Referncia Combustible Producto + Flete </t>
  </si>
  <si>
    <t>VERANO</t>
  </si>
  <si>
    <t>INVIERNO</t>
  </si>
  <si>
    <t>Tiene Combustible Propio ? Si / No</t>
  </si>
  <si>
    <t>Beneficio TOTAL</t>
  </si>
  <si>
    <t>AutoGenenerador</t>
  </si>
  <si>
    <t>ABIERTO</t>
  </si>
  <si>
    <t>CERRADO</t>
  </si>
  <si>
    <t>TOTAL</t>
  </si>
  <si>
    <t>Precio Combustible Producto Ref [U$S/uc]</t>
  </si>
  <si>
    <t>CVP NO Comb [U$S/MWh]</t>
  </si>
  <si>
    <t>CEG Ciclo Cerrado [kcal/kWh]</t>
  </si>
  <si>
    <t>Potencia Ofertada [MW]</t>
  </si>
  <si>
    <t>CEG Ciclo Cerrado [Kcal/KWh]</t>
  </si>
  <si>
    <t>Precio Comb [U$S/uc]</t>
  </si>
  <si>
    <t>Poder Calorífico Combustible [Kcal/uc]</t>
  </si>
  <si>
    <t>CVP Comb [U$S/MWh]</t>
  </si>
  <si>
    <t>CVP   [U$S/MWh]</t>
  </si>
  <si>
    <t>CVP * Factor de Pérdidas  [U$S/MWh]</t>
  </si>
  <si>
    <t>CMARG Ref [U$S/MWh]</t>
  </si>
  <si>
    <t>CMO - CVP * F.Perd   [U$S/MWh]</t>
  </si>
  <si>
    <t>Pot Contratada [MW]</t>
  </si>
  <si>
    <t>Costo Final [U$S/MW mes]</t>
  </si>
  <si>
    <t>CEG Ciclo Abierto [kcal/kWh]</t>
  </si>
  <si>
    <t>Consumos Especificos Garantizados CEG</t>
  </si>
  <si>
    <t>Flete Combustible</t>
  </si>
  <si>
    <t>CEG Ciclo ABIERTO [Kcal/KWh]</t>
  </si>
  <si>
    <t>Ciclo Cerrado CMO - CVP * F.Perd    [U$S/MWh]</t>
  </si>
  <si>
    <t>Pot Generada [MW]</t>
  </si>
  <si>
    <t>Pot Generada  [MW]</t>
  </si>
  <si>
    <t>kcal/MBTU</t>
  </si>
  <si>
    <t>Kcal/m3</t>
  </si>
  <si>
    <t>kcal/ton</t>
  </si>
  <si>
    <t>Poder  Calorífico Combustible</t>
  </si>
  <si>
    <t>Costo Final U$S/MW mes</t>
  </si>
  <si>
    <r>
      <t>CVP No Combustible</t>
    </r>
    <r>
      <rPr>
        <sz val="10"/>
        <color rgb="FF000000"/>
        <rFont val="Calibri"/>
        <family val="2"/>
      </rPr>
      <t xml:space="preserve"> [U$S/MWh]</t>
    </r>
  </si>
  <si>
    <t>CEM ref [kcal/kWh]</t>
  </si>
  <si>
    <t>Poder Calorífico [Kcal/uc]</t>
  </si>
  <si>
    <r>
      <t>CMARG [</t>
    </r>
    <r>
      <rPr>
        <sz val="8"/>
        <color rgb="FF000000"/>
        <rFont val="Calibri"/>
        <family val="2"/>
      </rPr>
      <t>U$S/MWh]</t>
    </r>
  </si>
  <si>
    <t xml:space="preserve"> [U$S/MWh]</t>
  </si>
  <si>
    <t>El beneficio operativo base se determina, en su concepto general, como la diferencia</t>
  </si>
  <si>
    <r>
      <t xml:space="preserve">correspondiente afectado por la Potencia Ofertada, por el </t>
    </r>
    <r>
      <rPr>
        <b/>
        <sz val="10"/>
        <rFont val="Arial"/>
        <family val="2"/>
      </rPr>
      <t>Factor de Despacho del 90%</t>
    </r>
  </si>
  <si>
    <t>Costo Estandar Pot NO Contratada</t>
  </si>
  <si>
    <t>Costo Final Contrato U$S</t>
  </si>
  <si>
    <t>Costo Total U$S</t>
  </si>
  <si>
    <t xml:space="preserve">Relación Beneficio / Costo Total  </t>
  </si>
  <si>
    <t>Pot No Contratada [MW]</t>
  </si>
  <si>
    <t>Costo Estandar Pot  NO Contratada U$S</t>
  </si>
  <si>
    <t>Costo Anual</t>
  </si>
  <si>
    <t>Representa el costo estandar que pagado por el equipamiento existente largo plazo.</t>
  </si>
  <si>
    <t>En la evaluación de la relación Beneficio / Costo se considera al equipamiento existente que compone al Ciclo Combinado</t>
  </si>
  <si>
    <t>Costo Final  Ciclo Cerrado U$S</t>
  </si>
  <si>
    <t>Costo Final Ciclo Abierto U$S</t>
  </si>
  <si>
    <t>Costo Final TOTAL U$S</t>
  </si>
  <si>
    <t>PUNTO DE INTERCONEXIÓN ("PDI")</t>
  </si>
  <si>
    <t>GENERACIÓN QUE SE DESPLAZA</t>
  </si>
  <si>
    <t>ET OLAVARRÍA 500 KV (300)</t>
  </si>
  <si>
    <t>TV7, TV8, TG19, TG20, TG21 Y TG22 CT 9 DE JULIO</t>
  </si>
  <si>
    <t>TG´s DE CT V. GESELL</t>
  </si>
  <si>
    <t>LAS FLORES</t>
  </si>
  <si>
    <t>OLAVARRÍA VIEJA (132 KV)</t>
  </si>
  <si>
    <t>EXPORTACIÓN COMAHUE 500 KV (200)</t>
  </si>
  <si>
    <t>RÍO COLORADO</t>
  </si>
  <si>
    <t>TERMOROCA</t>
  </si>
  <si>
    <t xml:space="preserve">E.T. </t>
  </si>
  <si>
    <t>CHELFORÓ</t>
  </si>
  <si>
    <t>13,2</t>
  </si>
  <si>
    <t>ET HENDERSON 500 KV (600)</t>
  </si>
  <si>
    <t>NUEVA ET SOBRE LÍNEA 33 KV TRES LOMAS - CASBAS</t>
  </si>
  <si>
    <t>ET BAHÍA BLANCA 500 KV (300)</t>
  </si>
  <si>
    <t>CT PIEDRABUENA TV29 y TV30</t>
  </si>
  <si>
    <t>GUILLERMO BROWN 500 KV</t>
  </si>
  <si>
    <t>GENERAL CONESA (RÍO NEGRO)</t>
  </si>
  <si>
    <t>NUEVA ET SOBRE LÍNEA 33 KV CERRI - CHAÑARES</t>
  </si>
  <si>
    <t>TV11 Y TV12 DE CT L. DE CUYO</t>
  </si>
  <si>
    <t>EXPORTACIÓN CUYO 500 KV (800)</t>
  </si>
  <si>
    <t>ET LA RIOJA SUR 500 KV (300)</t>
  </si>
  <si>
    <t>TV 11 Y TV12 CT GÜEMES</t>
  </si>
  <si>
    <t>ET COBOS 500 KV (400)</t>
  </si>
  <si>
    <t>LIBERTADOR</t>
  </si>
  <si>
    <t>ET EL BRACHO 500 KV (300)</t>
  </si>
  <si>
    <t>ET ALMAFUERTE 500 KV (800)</t>
  </si>
  <si>
    <t>EXPORTACIÓN CENTRO 500 KV (800)</t>
  </si>
  <si>
    <t>TG 01, TG 02 y TG 03 CT VILLA MARIA</t>
  </si>
  <si>
    <t>ET A. CABRAL 500 KV (800)</t>
  </si>
  <si>
    <t>ET MALVINAS 500 KV (800)</t>
  </si>
  <si>
    <t>NUEVA ET SOBRE LÍNEA 132 KV SAN LUIS - VILLA MERCEDES SUR</t>
  </si>
  <si>
    <t>ET LUJÁN 500 KV (800)</t>
  </si>
  <si>
    <t>NUEVA ET SOBRE DOBLE TERNA 33 KV HACIA ET SAN LORENZO 132 KV</t>
  </si>
  <si>
    <t>ET RÍO CORONDA 500 KV (400)</t>
  </si>
  <si>
    <t>ET ROSARIO OESTE 500 KV (400)</t>
  </si>
  <si>
    <t>TV11, TV12, TV13, TV14  y TGs CT SAN NICOLÁS</t>
  </si>
  <si>
    <t>ET RAMALLO 500 KV (400)</t>
  </si>
  <si>
    <t>ROJAS</t>
  </si>
  <si>
    <t>AXION</t>
  </si>
  <si>
    <t>TV 1, TV2, TV3 Y TV4 DE CT COSTANERA</t>
  </si>
  <si>
    <t>CORREDOR 220 KV COST- HUD- BOS -ABA (500)</t>
  </si>
  <si>
    <t>ET ABASTO 500 KV (850)</t>
  </si>
  <si>
    <t>GUTIERREZ</t>
  </si>
  <si>
    <t>CONEXIÓN A ALIMENTADOR 13,2 KV DESDE ET GUTIERREZ</t>
  </si>
  <si>
    <t>NUEVA ET SOBRE TERNA 1 DE 33 KV HACIA GONZALEZ CATÁN (ZONA CENTRO ATÓMICO EZEIZA)</t>
  </si>
  <si>
    <t>ET EZEIZA 132 KV (250)</t>
  </si>
  <si>
    <t>ET EZEIZA 500 KV (1600) (OPERANDO EN DOBLE BARRA Y/O REACTORES LIMITADORES)</t>
  </si>
  <si>
    <t>NUEVA ET SOBRE TERNA 2 DE 33 KV HACIA GONZALEZ CATÁN (ZONA CENTRO ATÓMICO EZEIZA)</t>
  </si>
  <si>
    <t>TALAR</t>
  </si>
  <si>
    <t>ET RODRÍGUEZ 500 KV (1600) (OPERANDO EN DOBLE BARRA Y/O REACTORES LIMITADORES)</t>
  </si>
  <si>
    <t>TALAR 1 (SOBRE BARRA 1 DE 13,2)</t>
  </si>
  <si>
    <t>TALAR 2 (SOBRE BARRA 2 DE 13,2)</t>
  </si>
  <si>
    <t>LUJÁN 2</t>
  </si>
  <si>
    <t>MATHEU</t>
  </si>
  <si>
    <t>RODRÍGUEZ 500 KV</t>
  </si>
  <si>
    <t>PATAGONIA</t>
  </si>
  <si>
    <t>Exportación Patagonia (0)</t>
  </si>
  <si>
    <t>Patagonia (0)</t>
  </si>
  <si>
    <t>(&amp;) No exite en esta estación transformadora el nivel de 33 kV, el oferente deberá incluir el equipamiento correspondiente.</t>
  </si>
  <si>
    <t>Equip Nuevo</t>
  </si>
  <si>
    <t>Equip. Existente</t>
  </si>
  <si>
    <t>Proyecto CIERRE Ciclo Combinado</t>
  </si>
  <si>
    <t>COSTOS LOGISTICOS</t>
  </si>
  <si>
    <t>GENERAL ROCA</t>
  </si>
  <si>
    <t>PLANICIE BANDERITA</t>
  </si>
  <si>
    <t>SALTO</t>
  </si>
  <si>
    <t>NUEVA ET SOBRE LÍNEA DE 33 KV CHAÑARES - MÉDANOS</t>
  </si>
  <si>
    <r>
      <t xml:space="preserve">Trans. Gas </t>
    </r>
    <r>
      <rPr>
        <sz val="9"/>
        <color theme="1"/>
        <rFont val="Calibri"/>
        <family val="2"/>
        <scheme val="minor"/>
      </rPr>
      <t>[U$S/MBTU]</t>
    </r>
  </si>
  <si>
    <r>
      <t xml:space="preserve">Flete Alter. </t>
    </r>
    <r>
      <rPr>
        <sz val="9"/>
        <color theme="1"/>
        <rFont val="Calibri"/>
        <family val="2"/>
        <scheme val="minor"/>
      </rPr>
      <t>[U$S/m3]</t>
    </r>
  </si>
  <si>
    <r>
      <t xml:space="preserve">Flete Alter. </t>
    </r>
    <r>
      <rPr>
        <sz val="9"/>
        <color theme="1"/>
        <rFont val="Calibri"/>
        <family val="2"/>
        <scheme val="minor"/>
      </rPr>
      <t>[U$S/ton]</t>
    </r>
  </si>
  <si>
    <t>Los valores de precios combustibles a adoptar serán comunicados por la SEE</t>
  </si>
  <si>
    <t>Dias Corte</t>
  </si>
  <si>
    <t>HS Mes Disponible</t>
  </si>
  <si>
    <t>Días Interr Declarados</t>
  </si>
  <si>
    <t>Gas en Invierno</t>
  </si>
  <si>
    <t>Alternativo Invierno</t>
  </si>
  <si>
    <t>Caso Gas Inv Ben. Alter U$S</t>
  </si>
  <si>
    <t>Factor Costo Mes</t>
  </si>
  <si>
    <t>COMPLEJO INDUSTRIAL LUJAN DE CUYO (REFINERIA YPF)</t>
  </si>
  <si>
    <t>NUEVA ET SOBRE TERNA 1 DE 33 KV ANDINO - ALDAO</t>
  </si>
  <si>
    <t>NUEVA ET SOBRE TERNA 2 DE 33 KV ANDINO - ALDAO</t>
  </si>
  <si>
    <t>TERMINAL 6</t>
  </si>
  <si>
    <t>LA RIBERA</t>
  </si>
  <si>
    <t>NUEVA ET SOBRE LÍNEA 33 KV LA RIBERA - TIMBÚES RADIAL DESDE ET LA RIBERA</t>
  </si>
  <si>
    <t>NUEVA ET SOBRE LÍNEA 33 KV LA RIBERA - TIMBÚES RADIAL DESDE ET LA TIMBÚES</t>
  </si>
  <si>
    <t>MACIEL</t>
  </si>
  <si>
    <t>PARQUE</t>
  </si>
  <si>
    <t>ZONA PUERTO SAN MARTÍN/TERMINAL 6 (70)</t>
  </si>
  <si>
    <t>OLAVARRÍA + 65% BAHÍA BLANCA + 40% COMAHUE + 20% HENDERSON + 23 % CUYO (300)</t>
  </si>
  <si>
    <t>COMAHUE + 46 % CUYO (200)</t>
  </si>
  <si>
    <t>HENDERSON + 40 % COMAHUE + 20% BAHÍA BLANCA + 23 % CUYO(300)</t>
  </si>
  <si>
    <t>BAHÍA BLANCA + 40 % COMAHUE + 20 % HENDERSON + 23 % CUYO (300)</t>
  </si>
  <si>
    <t>CENTRO + 54 % CUYO + 11 % COMAHUE (800)</t>
  </si>
  <si>
    <t>CUYO + 14 % CENTRO (800)</t>
  </si>
  <si>
    <t>CUYO + 11% COMAHUE (800)</t>
  </si>
  <si>
    <t>LITORAL + 20 % CUYO + 36 % CENTRO (400)</t>
  </si>
  <si>
    <t>que compone el costo del conjunto con un valor de 7.000U$S/MW mes</t>
  </si>
  <si>
    <t>Precio Flete Ref Representativo GBA [U$S/uc]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</si>
</sst>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#,##0.0"/>
    <numFmt numFmtId="167" formatCode="[$USS]\ #,##0"/>
    <numFmt numFmtId="168" formatCode="dd/mm/yyyy;@"/>
    <numFmt numFmtId="169" formatCode="#,##0.000"/>
    <numFmt numFmtId="170" formatCode="0.0000"/>
    <numFmt numFmtId="171" formatCode="0.0%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Arial"/>
      <family val="2"/>
    </font>
    <font>
      <b/>
      <sz val="18"/>
      <color rgb="FFFF0000"/>
      <name val="Arial"/>
      <family val="2"/>
    </font>
    <font>
      <b/>
      <sz val="18"/>
      <color rgb="FFFF0000"/>
      <name val="Calibri"/>
      <family val="2"/>
      <scheme val="minor"/>
    </font>
    <font>
      <b/>
      <sz val="11"/>
      <color rgb="FFFF0000"/>
      <name val="Arial"/>
      <family val="2"/>
    </font>
    <font>
      <b/>
      <sz val="10"/>
      <name val="Arial"/>
      <family val="2"/>
    </font>
    <font>
      <sz val="8"/>
      <color rgb="FF000000"/>
      <name val="Calibri"/>
      <family val="2"/>
    </font>
    <font>
      <b/>
      <sz val="10"/>
      <color rgb="FFFF0000"/>
      <name val="Arial"/>
      <family val="2"/>
    </font>
    <font>
      <sz val="12"/>
      <name val="Arial"/>
      <family val="2"/>
    </font>
    <font>
      <b/>
      <sz val="10"/>
      <color theme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name val="Arial"/>
      <family val="2"/>
    </font>
    <font>
      <sz val="11"/>
      <color theme="1"/>
      <name val="Calibri"/>
      <family val="2"/>
    </font>
    <font>
      <b/>
      <sz val="12"/>
      <color theme="4" tint="-0.249977111117893"/>
      <name val="Arial"/>
      <family val="2"/>
    </font>
    <font>
      <b/>
      <sz val="12"/>
      <color theme="8"/>
      <name val="Arial"/>
      <family val="2"/>
    </font>
    <font>
      <sz val="9"/>
      <name val="Arial"/>
      <family val="2"/>
    </font>
    <font>
      <sz val="14"/>
      <name val="Arial"/>
      <family val="2"/>
    </font>
    <font>
      <b/>
      <sz val="14"/>
      <color rgb="FFFF0000"/>
      <name val="Arial"/>
      <family val="2"/>
    </font>
    <font>
      <b/>
      <sz val="24"/>
      <color rgb="FFFF0000"/>
      <name val="Arial"/>
      <family val="2"/>
    </font>
    <font>
      <sz val="9"/>
      <color rgb="FF000000"/>
      <name val="Calibri"/>
      <family val="2"/>
    </font>
    <font>
      <b/>
      <sz val="9"/>
      <color rgb="FFFF0000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Calibri"/>
      <family val="2"/>
    </font>
    <font>
      <b/>
      <sz val="10"/>
      <color theme="4" tint="-0.249977111117893"/>
      <name val="Arial"/>
      <family val="2"/>
    </font>
    <font>
      <b/>
      <sz val="11"/>
      <name val="Arial"/>
      <family val="2"/>
    </font>
    <font>
      <b/>
      <sz val="12"/>
      <color theme="4" tint="-0.499984740745262"/>
      <name val="Arial"/>
      <family val="2"/>
    </font>
    <font>
      <b/>
      <u/>
      <sz val="16"/>
      <color theme="4" tint="-0.249977111117893"/>
      <name val="Arial"/>
      <family val="2"/>
    </font>
    <font>
      <b/>
      <sz val="14"/>
      <name val="Arial"/>
      <family val="2"/>
    </font>
    <font>
      <b/>
      <sz val="16"/>
      <color rgb="FF000000"/>
      <name val="Calibri"/>
      <family val="2"/>
    </font>
    <font>
      <b/>
      <sz val="12"/>
      <color rgb="FFFF0000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</font>
    <font>
      <sz val="11"/>
      <name val="Calibri"/>
      <family val="2"/>
    </font>
    <font>
      <sz val="10"/>
      <color theme="1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A6A6A6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rgb="FFAEAAAA"/>
        <bgColor rgb="FF000000"/>
      </patternFill>
    </fill>
  </fills>
  <borders count="7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ck">
        <color auto="1"/>
      </right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733">
    <xf numFmtId="0" fontId="0" fillId="0" borderId="0" xfId="0"/>
    <xf numFmtId="0" fontId="0" fillId="0" borderId="5" xfId="0" applyBorder="1"/>
    <xf numFmtId="0" fontId="0" fillId="0" borderId="0" xfId="0" applyAlignment="1">
      <alignment vertical="center" wrapText="1"/>
    </xf>
    <xf numFmtId="0" fontId="0" fillId="0" borderId="16" xfId="0" applyBorder="1"/>
    <xf numFmtId="0" fontId="2" fillId="0" borderId="0" xfId="2"/>
    <xf numFmtId="0" fontId="2" fillId="0" borderId="0" xfId="2" applyAlignment="1">
      <alignment horizontal="center"/>
    </xf>
    <xf numFmtId="0" fontId="2" fillId="0" borderId="0" xfId="2" applyAlignment="1">
      <alignment wrapText="1"/>
    </xf>
    <xf numFmtId="0" fontId="2" fillId="0" borderId="0" xfId="2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2" fillId="0" borderId="0" xfId="2" applyBorder="1" applyAlignment="1">
      <alignment horizontal="center" vertical="center"/>
    </xf>
    <xf numFmtId="0" fontId="7" fillId="0" borderId="0" xfId="2" applyFont="1" applyAlignment="1">
      <alignment horizontal="right"/>
    </xf>
    <xf numFmtId="0" fontId="8" fillId="0" borderId="0" xfId="2" applyFont="1"/>
    <xf numFmtId="0" fontId="2" fillId="0" borderId="17" xfId="2" applyBorder="1" applyAlignment="1">
      <alignment horizontal="center"/>
    </xf>
    <xf numFmtId="0" fontId="2" fillId="0" borderId="18" xfId="2" applyBorder="1" applyAlignment="1">
      <alignment horizontal="center"/>
    </xf>
    <xf numFmtId="0" fontId="4" fillId="0" borderId="18" xfId="2" applyFont="1" applyBorder="1" applyAlignment="1">
      <alignment horizontal="center"/>
    </xf>
    <xf numFmtId="0" fontId="2" fillId="0" borderId="21" xfId="2" applyBorder="1" applyAlignment="1">
      <alignment horizontal="center"/>
    </xf>
    <xf numFmtId="0" fontId="4" fillId="0" borderId="21" xfId="2" applyFont="1" applyBorder="1" applyAlignment="1">
      <alignment horizontal="center"/>
    </xf>
    <xf numFmtId="165" fontId="7" fillId="0" borderId="0" xfId="2" applyNumberFormat="1" applyFont="1" applyAlignment="1">
      <alignment horizontal="center"/>
    </xf>
    <xf numFmtId="0" fontId="2" fillId="0" borderId="0" xfId="2" applyBorder="1" applyAlignment="1">
      <alignment horizontal="center" vertical="center" wrapText="1"/>
    </xf>
    <xf numFmtId="0" fontId="2" fillId="0" borderId="0" xfId="2" applyAlignment="1">
      <alignment vertical="center"/>
    </xf>
    <xf numFmtId="0" fontId="5" fillId="0" borderId="0" xfId="2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2" applyAlignment="1">
      <alignment horizontal="center" vertical="center"/>
    </xf>
    <xf numFmtId="0" fontId="0" fillId="0" borderId="0" xfId="0" applyBorder="1"/>
    <xf numFmtId="0" fontId="2" fillId="0" borderId="0" xfId="2" applyBorder="1" applyAlignment="1">
      <alignment vertical="center"/>
    </xf>
    <xf numFmtId="0" fontId="2" fillId="0" borderId="0" xfId="2" applyProtection="1">
      <protection locked="0"/>
    </xf>
    <xf numFmtId="0" fontId="2" fillId="0" borderId="0" xfId="2" applyFont="1" applyProtection="1">
      <protection locked="0"/>
    </xf>
    <xf numFmtId="0" fontId="3" fillId="0" borderId="1" xfId="2" applyFont="1" applyBorder="1" applyAlignment="1" applyProtection="1">
      <alignment horizontal="center" vertical="center" wrapText="1"/>
    </xf>
    <xf numFmtId="0" fontId="3" fillId="0" borderId="4" xfId="2" applyFont="1" applyBorder="1" applyAlignment="1" applyProtection="1">
      <alignment horizontal="center" vertical="center"/>
    </xf>
    <xf numFmtId="0" fontId="2" fillId="0" borderId="0" xfId="2" applyProtection="1"/>
    <xf numFmtId="0" fontId="15" fillId="0" borderId="16" xfId="2" applyFont="1" applyBorder="1" applyAlignment="1">
      <alignment horizontal="centerContinuous" vertical="center"/>
    </xf>
    <xf numFmtId="0" fontId="15" fillId="0" borderId="10" xfId="2" applyFont="1" applyBorder="1" applyAlignment="1">
      <alignment horizontal="centerContinuous" vertical="center"/>
    </xf>
    <xf numFmtId="0" fontId="15" fillId="0" borderId="5" xfId="2" applyFont="1" applyBorder="1" applyAlignment="1">
      <alignment horizontal="centerContinuous" vertical="center"/>
    </xf>
    <xf numFmtId="0" fontId="8" fillId="0" borderId="16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8" fillId="0" borderId="0" xfId="2" applyFont="1" applyAlignment="1">
      <alignment horizontal="center"/>
    </xf>
    <xf numFmtId="0" fontId="12" fillId="0" borderId="0" xfId="2" applyFont="1" applyBorder="1" applyAlignment="1">
      <alignment horizontal="center"/>
    </xf>
    <xf numFmtId="0" fontId="0" fillId="0" borderId="26" xfId="0" applyBorder="1"/>
    <xf numFmtId="0" fontId="2" fillId="0" borderId="0" xfId="2" applyFont="1" applyFill="1" applyBorder="1" applyProtection="1">
      <protection locked="0"/>
    </xf>
    <xf numFmtId="0" fontId="2" fillId="0" borderId="0" xfId="2" applyFill="1" applyBorder="1" applyProtection="1">
      <protection locked="0"/>
    </xf>
    <xf numFmtId="0" fontId="2" fillId="0" borderId="0" xfId="2" applyFill="1" applyBorder="1"/>
    <xf numFmtId="0" fontId="3" fillId="0" borderId="0" xfId="2" applyFont="1" applyFill="1" applyBorder="1" applyAlignment="1" applyProtection="1">
      <alignment horizontal="center" vertical="center" wrapText="1"/>
    </xf>
    <xf numFmtId="0" fontId="2" fillId="0" borderId="0" xfId="2" applyFont="1" applyFill="1" applyBorder="1" applyProtection="1"/>
    <xf numFmtId="0" fontId="3" fillId="0" borderId="0" xfId="2" applyFont="1" applyFill="1" applyBorder="1" applyAlignment="1">
      <alignment horizontal="center" vertical="center" wrapText="1"/>
    </xf>
    <xf numFmtId="0" fontId="2" fillId="0" borderId="0" xfId="2" applyFill="1" applyBorder="1" applyAlignment="1">
      <alignment wrapText="1"/>
    </xf>
    <xf numFmtId="0" fontId="3" fillId="0" borderId="0" xfId="2" applyFont="1" applyFill="1" applyBorder="1" applyAlignment="1" applyProtection="1">
      <alignment horizontal="center" vertical="center"/>
    </xf>
    <xf numFmtId="1" fontId="3" fillId="0" borderId="0" xfId="2" applyNumberFormat="1" applyFont="1" applyFill="1" applyBorder="1" applyAlignment="1" applyProtection="1">
      <alignment horizontal="center" vertical="center"/>
    </xf>
    <xf numFmtId="164" fontId="3" fillId="0" borderId="0" xfId="2" applyNumberFormat="1" applyFont="1" applyFill="1" applyBorder="1" applyAlignment="1" applyProtection="1">
      <alignment horizontal="center" vertical="center"/>
    </xf>
    <xf numFmtId="3" fontId="3" fillId="0" borderId="0" xfId="2" applyNumberFormat="1" applyFont="1" applyFill="1" applyBorder="1" applyAlignment="1" applyProtection="1">
      <alignment horizontal="center" vertical="center" wrapText="1"/>
    </xf>
    <xf numFmtId="1" fontId="3" fillId="0" borderId="0" xfId="2" applyNumberFormat="1" applyFont="1" applyFill="1" applyBorder="1" applyAlignment="1" applyProtection="1">
      <alignment horizontal="center" vertical="center" wrapText="1"/>
    </xf>
    <xf numFmtId="0" fontId="2" fillId="0" borderId="0" xfId="2" applyFill="1" applyBorder="1" applyAlignment="1" applyProtection="1">
      <alignment wrapText="1"/>
    </xf>
    <xf numFmtId="167" fontId="10" fillId="0" borderId="0" xfId="2" applyNumberFormat="1" applyFont="1" applyFill="1" applyBorder="1" applyProtection="1"/>
    <xf numFmtId="0" fontId="3" fillId="0" borderId="0" xfId="2" applyFont="1" applyFill="1" applyBorder="1" applyAlignment="1">
      <alignment horizontal="center" vertical="center"/>
    </xf>
    <xf numFmtId="0" fontId="2" fillId="0" borderId="0" xfId="2" applyFill="1" applyBorder="1" applyProtection="1"/>
    <xf numFmtId="164" fontId="2" fillId="0" borderId="0" xfId="2" applyNumberFormat="1" applyFill="1" applyBorder="1" applyAlignment="1" applyProtection="1">
      <alignment horizontal="center"/>
    </xf>
    <xf numFmtId="0" fontId="2" fillId="0" borderId="0" xfId="2" applyFill="1" applyBorder="1" applyAlignment="1" applyProtection="1">
      <alignment horizontal="right"/>
    </xf>
    <xf numFmtId="164" fontId="2" fillId="0" borderId="0" xfId="2" applyNumberFormat="1" applyFill="1" applyBorder="1" applyProtection="1"/>
    <xf numFmtId="0" fontId="7" fillId="0" borderId="0" xfId="2" applyFont="1" applyFill="1" applyBorder="1" applyAlignment="1" applyProtection="1">
      <alignment horizontal="right"/>
    </xf>
    <xf numFmtId="165" fontId="7" fillId="0" borderId="0" xfId="2" applyNumberFormat="1" applyFont="1" applyFill="1" applyBorder="1" applyAlignment="1" applyProtection="1">
      <alignment horizontal="center"/>
    </xf>
    <xf numFmtId="0" fontId="8" fillId="0" borderId="0" xfId="2" applyFont="1" applyFill="1" applyBorder="1" applyAlignment="1" applyProtection="1">
      <alignment horizontal="right"/>
    </xf>
    <xf numFmtId="9" fontId="8" fillId="0" borderId="0" xfId="2" applyNumberFormat="1" applyFont="1" applyFill="1" applyBorder="1" applyAlignment="1" applyProtection="1">
      <alignment horizontal="center" vertical="center"/>
    </xf>
    <xf numFmtId="166" fontId="8" fillId="0" borderId="0" xfId="2" applyNumberFormat="1" applyFont="1" applyFill="1" applyBorder="1" applyProtection="1"/>
    <xf numFmtId="0" fontId="8" fillId="0" borderId="0" xfId="2" applyFont="1" applyFill="1" applyBorder="1" applyProtection="1"/>
    <xf numFmtId="0" fontId="2" fillId="0" borderId="0" xfId="2" applyFill="1" applyBorder="1" applyAlignment="1">
      <alignment horizontal="center"/>
    </xf>
    <xf numFmtId="0" fontId="0" fillId="0" borderId="0" xfId="0" applyFill="1" applyBorder="1"/>
    <xf numFmtId="0" fontId="7" fillId="0" borderId="0" xfId="2" applyFont="1" applyFill="1" applyBorder="1" applyAlignment="1">
      <alignment horizontal="right"/>
    </xf>
    <xf numFmtId="167" fontId="7" fillId="0" borderId="0" xfId="2" applyNumberFormat="1" applyFont="1" applyFill="1" applyBorder="1"/>
    <xf numFmtId="0" fontId="8" fillId="0" borderId="0" xfId="2" applyFont="1" applyFill="1" applyBorder="1"/>
    <xf numFmtId="0" fontId="2" fillId="0" borderId="0" xfId="2" applyFill="1" applyBorder="1" applyAlignment="1">
      <alignment vertical="center"/>
    </xf>
    <xf numFmtId="0" fontId="2" fillId="0" borderId="0" xfId="2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5" fillId="0" borderId="0" xfId="2" applyFont="1" applyFill="1" applyBorder="1" applyAlignment="1">
      <alignment vertical="center"/>
    </xf>
    <xf numFmtId="0" fontId="2" fillId="0" borderId="0" xfId="2" applyFill="1" applyBorder="1" applyAlignment="1">
      <alignment horizontal="center" vertical="center" wrapText="1"/>
    </xf>
    <xf numFmtId="0" fontId="2" fillId="0" borderId="0" xfId="2" applyFill="1" applyBorder="1" applyAlignment="1">
      <alignment horizontal="centerContinuous" vertical="center" wrapText="1"/>
    </xf>
    <xf numFmtId="0" fontId="4" fillId="0" borderId="0" xfId="2" applyFont="1" applyFill="1" applyBorder="1" applyAlignment="1">
      <alignment horizontal="center"/>
    </xf>
    <xf numFmtId="3" fontId="12" fillId="0" borderId="0" xfId="2" applyNumberFormat="1" applyFont="1" applyFill="1" applyBorder="1" applyProtection="1">
      <protection locked="0"/>
    </xf>
    <xf numFmtId="3" fontId="18" fillId="0" borderId="0" xfId="2" applyNumberFormat="1" applyFont="1" applyAlignment="1" applyProtection="1">
      <alignment horizontal="center"/>
      <protection locked="0"/>
    </xf>
    <xf numFmtId="0" fontId="18" fillId="0" borderId="18" xfId="2" applyFont="1" applyBorder="1" applyAlignment="1" applyProtection="1">
      <alignment horizontal="center"/>
      <protection locked="0"/>
    </xf>
    <xf numFmtId="0" fontId="11" fillId="0" borderId="0" xfId="2" applyFont="1" applyProtection="1">
      <protection locked="0"/>
    </xf>
    <xf numFmtId="0" fontId="18" fillId="0" borderId="0" xfId="2" applyFont="1" applyProtection="1">
      <protection locked="0"/>
    </xf>
    <xf numFmtId="9" fontId="18" fillId="0" borderId="18" xfId="1" applyFont="1" applyBorder="1" applyAlignment="1" applyProtection="1">
      <alignment horizontal="center"/>
      <protection locked="0"/>
    </xf>
    <xf numFmtId="9" fontId="18" fillId="0" borderId="21" xfId="1" applyFont="1" applyBorder="1" applyAlignment="1" applyProtection="1">
      <alignment horizontal="center"/>
      <protection locked="0"/>
    </xf>
    <xf numFmtId="164" fontId="18" fillId="0" borderId="19" xfId="2" applyNumberFormat="1" applyFont="1" applyBorder="1" applyAlignment="1" applyProtection="1">
      <alignment horizontal="center"/>
      <protection locked="0"/>
    </xf>
    <xf numFmtId="164" fontId="18" fillId="0" borderId="22" xfId="2" applyNumberFormat="1" applyFont="1" applyBorder="1" applyAlignment="1" applyProtection="1">
      <alignment horizontal="center"/>
      <protection locked="0"/>
    </xf>
    <xf numFmtId="0" fontId="22" fillId="0" borderId="0" xfId="2" applyFont="1" applyAlignment="1">
      <alignment vertical="center"/>
    </xf>
    <xf numFmtId="0" fontId="18" fillId="0" borderId="23" xfId="2" applyFont="1" applyBorder="1" applyAlignment="1" applyProtection="1">
      <alignment horizontal="center"/>
      <protection locked="0"/>
    </xf>
    <xf numFmtId="0" fontId="23" fillId="0" borderId="1" xfId="2" applyFont="1" applyFill="1" applyBorder="1" applyAlignment="1">
      <alignment horizontal="center" vertical="center" wrapText="1"/>
    </xf>
    <xf numFmtId="0" fontId="23" fillId="0" borderId="1" xfId="2" applyFont="1" applyBorder="1" applyAlignment="1" applyProtection="1">
      <alignment horizontal="center" vertical="center" wrapText="1"/>
    </xf>
    <xf numFmtId="0" fontId="23" fillId="0" borderId="0" xfId="2" applyFont="1" applyBorder="1" applyAlignment="1">
      <alignment horizontal="center" vertical="center" wrapText="1"/>
    </xf>
    <xf numFmtId="0" fontId="19" fillId="0" borderId="0" xfId="2" applyFont="1"/>
    <xf numFmtId="2" fontId="23" fillId="0" borderId="4" xfId="2" applyNumberFormat="1" applyFont="1" applyBorder="1" applyAlignment="1" applyProtection="1">
      <alignment horizontal="center" vertical="center"/>
    </xf>
    <xf numFmtId="9" fontId="23" fillId="0" borderId="4" xfId="1" applyFont="1" applyBorder="1" applyAlignment="1">
      <alignment horizontal="center" vertical="center"/>
    </xf>
    <xf numFmtId="0" fontId="23" fillId="0" borderId="0" xfId="2" applyFont="1" applyBorder="1" applyAlignment="1">
      <alignment horizontal="center" vertical="center"/>
    </xf>
    <xf numFmtId="0" fontId="24" fillId="0" borderId="0" xfId="2" applyFont="1" applyAlignment="1">
      <alignment horizontal="right"/>
    </xf>
    <xf numFmtId="167" fontId="24" fillId="0" borderId="0" xfId="2" applyNumberFormat="1" applyFont="1"/>
    <xf numFmtId="0" fontId="19" fillId="0" borderId="0" xfId="2" applyFont="1" applyAlignment="1">
      <alignment horizontal="center"/>
    </xf>
    <xf numFmtId="0" fontId="25" fillId="0" borderId="0" xfId="2" applyFont="1"/>
    <xf numFmtId="0" fontId="19" fillId="0" borderId="0" xfId="2" applyFont="1" applyAlignment="1" applyProtection="1">
      <alignment wrapText="1"/>
    </xf>
    <xf numFmtId="0" fontId="19" fillId="0" borderId="0" xfId="2" applyFont="1" applyProtection="1"/>
    <xf numFmtId="0" fontId="23" fillId="0" borderId="4" xfId="2" applyFont="1" applyBorder="1" applyAlignment="1" applyProtection="1">
      <alignment horizontal="center" vertical="center"/>
    </xf>
    <xf numFmtId="1" fontId="23" fillId="0" borderId="4" xfId="2" applyNumberFormat="1" applyFont="1" applyBorder="1" applyAlignment="1" applyProtection="1">
      <alignment horizontal="center" vertical="center"/>
    </xf>
    <xf numFmtId="164" fontId="23" fillId="0" borderId="4" xfId="2" applyNumberFormat="1" applyFont="1" applyBorder="1" applyAlignment="1" applyProtection="1">
      <alignment horizontal="center" vertical="center"/>
    </xf>
    <xf numFmtId="3" fontId="23" fillId="0" borderId="1" xfId="2" applyNumberFormat="1" applyFont="1" applyBorder="1" applyAlignment="1" applyProtection="1">
      <alignment horizontal="center" vertical="center" wrapText="1"/>
    </xf>
    <xf numFmtId="1" fontId="23" fillId="0" borderId="1" xfId="2" applyNumberFormat="1" applyFont="1" applyBorder="1" applyAlignment="1" applyProtection="1">
      <alignment horizontal="center" vertical="center" wrapText="1"/>
    </xf>
    <xf numFmtId="0" fontId="23" fillId="0" borderId="0" xfId="2" applyFont="1" applyBorder="1" applyAlignment="1" applyProtection="1">
      <alignment horizontal="center" vertical="center"/>
    </xf>
    <xf numFmtId="0" fontId="23" fillId="3" borderId="4" xfId="2" applyFont="1" applyFill="1" applyBorder="1" applyAlignment="1" applyProtection="1">
      <alignment horizontal="center" vertical="center"/>
    </xf>
    <xf numFmtId="164" fontId="23" fillId="3" borderId="4" xfId="2" applyNumberFormat="1" applyFont="1" applyFill="1" applyBorder="1" applyAlignment="1" applyProtection="1">
      <alignment horizontal="center" vertical="center"/>
    </xf>
    <xf numFmtId="0" fontId="19" fillId="0" borderId="0" xfId="2" applyFont="1" applyAlignment="1" applyProtection="1">
      <alignment horizontal="right"/>
    </xf>
    <xf numFmtId="164" fontId="19" fillId="0" borderId="0" xfId="2" applyNumberFormat="1" applyFont="1" applyProtection="1"/>
    <xf numFmtId="165" fontId="24" fillId="0" borderId="0" xfId="2" applyNumberFormat="1" applyFont="1" applyAlignment="1" applyProtection="1">
      <alignment horizontal="center"/>
    </xf>
    <xf numFmtId="0" fontId="25" fillId="0" borderId="0" xfId="2" applyFont="1" applyAlignment="1" applyProtection="1">
      <alignment horizontal="right"/>
    </xf>
    <xf numFmtId="9" fontId="25" fillId="0" borderId="0" xfId="2" applyNumberFormat="1" applyFont="1" applyAlignment="1" applyProtection="1">
      <alignment horizontal="center" vertical="center"/>
    </xf>
    <xf numFmtId="166" fontId="25" fillId="0" borderId="0" xfId="2" applyNumberFormat="1" applyFont="1" applyProtection="1"/>
    <xf numFmtId="0" fontId="25" fillId="0" borderId="0" xfId="2" applyFont="1" applyProtection="1"/>
    <xf numFmtId="0" fontId="26" fillId="0" borderId="0" xfId="0" applyFont="1"/>
    <xf numFmtId="0" fontId="0" fillId="0" borderId="26" xfId="0" applyFill="1" applyBorder="1"/>
    <xf numFmtId="0" fontId="28" fillId="0" borderId="0" xfId="0" applyFont="1"/>
    <xf numFmtId="15" fontId="0" fillId="0" borderId="0" xfId="0" applyNumberFormat="1"/>
    <xf numFmtId="2" fontId="0" fillId="0" borderId="0" xfId="0" applyNumberFormat="1"/>
    <xf numFmtId="3" fontId="2" fillId="0" borderId="0" xfId="2" applyNumberFormat="1" applyFont="1" applyProtection="1">
      <protection locked="0"/>
    </xf>
    <xf numFmtId="168" fontId="18" fillId="0" borderId="0" xfId="2" applyNumberFormat="1" applyFont="1" applyProtection="1">
      <protection locked="0"/>
    </xf>
    <xf numFmtId="168" fontId="0" fillId="0" borderId="0" xfId="0" applyNumberFormat="1"/>
    <xf numFmtId="0" fontId="2" fillId="0" borderId="0" xfId="2" applyAlignment="1">
      <alignment horizontal="left"/>
    </xf>
    <xf numFmtId="166" fontId="23" fillId="0" borderId="1" xfId="2" applyNumberFormat="1" applyFont="1" applyBorder="1" applyAlignment="1" applyProtection="1">
      <alignment horizontal="center" vertical="center" wrapText="1"/>
    </xf>
    <xf numFmtId="0" fontId="17" fillId="0" borderId="0" xfId="2" applyFont="1" applyFill="1" applyBorder="1" applyAlignment="1">
      <alignment vertical="center"/>
    </xf>
    <xf numFmtId="0" fontId="17" fillId="0" borderId="0" xfId="2" applyFont="1" applyBorder="1" applyAlignment="1" applyProtection="1">
      <alignment horizontal="center"/>
      <protection locked="0"/>
    </xf>
    <xf numFmtId="3" fontId="18" fillId="0" borderId="0" xfId="2" applyNumberFormat="1" applyFont="1" applyBorder="1" applyAlignment="1" applyProtection="1">
      <alignment horizontal="center"/>
      <protection locked="0"/>
    </xf>
    <xf numFmtId="0" fontId="8" fillId="0" borderId="0" xfId="2" applyFont="1" applyAlignment="1">
      <alignment horizontal="right"/>
    </xf>
    <xf numFmtId="1" fontId="31" fillId="0" borderId="0" xfId="2" applyNumberFormat="1" applyFont="1" applyAlignment="1" applyProtection="1">
      <alignment horizontal="center"/>
    </xf>
    <xf numFmtId="9" fontId="15" fillId="0" borderId="0" xfId="1" applyFont="1" applyBorder="1" applyAlignment="1" applyProtection="1">
      <alignment horizontal="center"/>
      <protection locked="0"/>
    </xf>
    <xf numFmtId="165" fontId="15" fillId="0" borderId="0" xfId="2" applyNumberFormat="1" applyFont="1" applyProtection="1">
      <protection locked="0"/>
    </xf>
    <xf numFmtId="0" fontId="2" fillId="0" borderId="0" xfId="2" applyAlignment="1"/>
    <xf numFmtId="0" fontId="30" fillId="0" borderId="0" xfId="2" applyFont="1" applyAlignment="1">
      <alignment horizontal="center" vertical="center"/>
    </xf>
    <xf numFmtId="169" fontId="23" fillId="0" borderId="4" xfId="2" applyNumberFormat="1" applyFont="1" applyBorder="1" applyAlignment="1" applyProtection="1">
      <alignment horizontal="center" vertical="center"/>
    </xf>
    <xf numFmtId="3" fontId="23" fillId="0" borderId="4" xfId="2" applyNumberFormat="1" applyFont="1" applyBorder="1" applyAlignment="1" applyProtection="1">
      <alignment horizontal="center" vertical="center"/>
    </xf>
    <xf numFmtId="0" fontId="23" fillId="0" borderId="2" xfId="2" applyFont="1" applyBorder="1" applyAlignment="1" applyProtection="1">
      <alignment horizontal="center" vertical="center" wrapText="1"/>
    </xf>
    <xf numFmtId="0" fontId="2" fillId="0" borderId="23" xfId="2" applyBorder="1" applyAlignment="1">
      <alignment horizontal="center"/>
    </xf>
    <xf numFmtId="0" fontId="33" fillId="0" borderId="0" xfId="2" applyFont="1" applyAlignment="1"/>
    <xf numFmtId="0" fontId="22" fillId="0" borderId="0" xfId="2" applyFont="1" applyAlignment="1">
      <alignment horizontal="right" vertical="center"/>
    </xf>
    <xf numFmtId="0" fontId="18" fillId="0" borderId="29" xfId="2" applyFont="1" applyBorder="1" applyAlignment="1" applyProtection="1">
      <alignment horizontal="center" vertical="center"/>
      <protection locked="0"/>
    </xf>
    <xf numFmtId="0" fontId="34" fillId="0" borderId="13" xfId="2" applyFont="1" applyBorder="1" applyAlignment="1">
      <alignment horizontal="center" vertical="center"/>
    </xf>
    <xf numFmtId="0" fontId="34" fillId="0" borderId="6" xfId="2" applyFont="1" applyBorder="1" applyAlignment="1">
      <alignment horizontal="center" vertical="center"/>
    </xf>
    <xf numFmtId="0" fontId="2" fillId="0" borderId="30" xfId="2" applyBorder="1" applyAlignment="1">
      <alignment horizontal="center" vertical="center"/>
    </xf>
    <xf numFmtId="0" fontId="8" fillId="0" borderId="19" xfId="2" applyFont="1" applyBorder="1" applyAlignment="1">
      <alignment horizontal="center"/>
    </xf>
    <xf numFmtId="0" fontId="2" fillId="0" borderId="31" xfId="2" applyBorder="1" applyAlignment="1">
      <alignment horizontal="center" vertical="center"/>
    </xf>
    <xf numFmtId="0" fontId="8" fillId="0" borderId="32" xfId="2" applyFont="1" applyBorder="1" applyAlignment="1">
      <alignment horizontal="center"/>
    </xf>
    <xf numFmtId="0" fontId="2" fillId="0" borderId="33" xfId="2" applyBorder="1" applyAlignment="1">
      <alignment horizontal="center" vertical="center"/>
    </xf>
    <xf numFmtId="0" fontId="8" fillId="0" borderId="34" xfId="2" applyFont="1" applyBorder="1" applyAlignment="1">
      <alignment horizontal="center"/>
    </xf>
    <xf numFmtId="0" fontId="8" fillId="0" borderId="35" xfId="2" applyFont="1" applyBorder="1" applyAlignment="1">
      <alignment horizontal="center"/>
    </xf>
    <xf numFmtId="0" fontId="8" fillId="0" borderId="36" xfId="2" applyFont="1" applyBorder="1" applyAlignment="1">
      <alignment horizontal="center"/>
    </xf>
    <xf numFmtId="0" fontId="18" fillId="0" borderId="17" xfId="2" applyFont="1" applyBorder="1" applyAlignment="1" applyProtection="1">
      <alignment horizontal="center"/>
      <protection locked="0"/>
    </xf>
    <xf numFmtId="1" fontId="31" fillId="0" borderId="19" xfId="2" applyNumberFormat="1" applyFont="1" applyBorder="1" applyAlignment="1" applyProtection="1">
      <alignment horizontal="center"/>
    </xf>
    <xf numFmtId="0" fontId="18" fillId="0" borderId="27" xfId="2" applyFont="1" applyBorder="1" applyAlignment="1" applyProtection="1">
      <alignment horizontal="center"/>
      <protection locked="0"/>
    </xf>
    <xf numFmtId="1" fontId="31" fillId="0" borderId="32" xfId="2" applyNumberFormat="1" applyFont="1" applyBorder="1" applyAlignment="1" applyProtection="1">
      <alignment horizontal="center"/>
    </xf>
    <xf numFmtId="0" fontId="18" fillId="0" borderId="20" xfId="2" applyFont="1" applyBorder="1" applyAlignment="1" applyProtection="1">
      <alignment horizontal="center"/>
      <protection locked="0"/>
    </xf>
    <xf numFmtId="1" fontId="31" fillId="0" borderId="22" xfId="2" applyNumberFormat="1" applyFont="1" applyBorder="1" applyAlignment="1" applyProtection="1">
      <alignment horizontal="center"/>
    </xf>
    <xf numFmtId="0" fontId="8" fillId="0" borderId="23" xfId="2" applyFont="1" applyBorder="1"/>
    <xf numFmtId="0" fontId="8" fillId="0" borderId="18" xfId="2" applyFont="1" applyBorder="1"/>
    <xf numFmtId="0" fontId="2" fillId="0" borderId="19" xfId="2" applyBorder="1"/>
    <xf numFmtId="0" fontId="2" fillId="0" borderId="32" xfId="2" applyBorder="1"/>
    <xf numFmtId="0" fontId="8" fillId="0" borderId="21" xfId="2" applyFont="1" applyBorder="1"/>
    <xf numFmtId="0" fontId="2" fillId="0" borderId="22" xfId="2" applyBorder="1"/>
    <xf numFmtId="9" fontId="15" fillId="0" borderId="17" xfId="1" applyFont="1" applyBorder="1" applyAlignment="1" applyProtection="1">
      <alignment horizontal="center"/>
    </xf>
    <xf numFmtId="9" fontId="15" fillId="0" borderId="27" xfId="1" applyFont="1" applyBorder="1" applyAlignment="1" applyProtection="1">
      <alignment horizontal="center"/>
    </xf>
    <xf numFmtId="9" fontId="15" fillId="0" borderId="20" xfId="1" applyFont="1" applyBorder="1" applyAlignment="1" applyProtection="1">
      <alignment horizontal="center"/>
    </xf>
    <xf numFmtId="3" fontId="18" fillId="0" borderId="32" xfId="2" applyNumberFormat="1" applyFont="1" applyBorder="1" applyAlignment="1" applyProtection="1">
      <alignment horizontal="center"/>
      <protection locked="0"/>
    </xf>
    <xf numFmtId="3" fontId="18" fillId="0" borderId="22" xfId="2" applyNumberFormat="1" applyFont="1" applyBorder="1" applyAlignment="1" applyProtection="1">
      <alignment horizontal="center"/>
      <protection locked="0"/>
    </xf>
    <xf numFmtId="0" fontId="5" fillId="0" borderId="0" xfId="2" applyFont="1" applyAlignment="1">
      <alignment horizontal="center" vertical="center"/>
    </xf>
    <xf numFmtId="0" fontId="2" fillId="0" borderId="19" xfId="2" applyBorder="1" applyAlignment="1">
      <alignment horizontal="center"/>
    </xf>
    <xf numFmtId="0" fontId="17" fillId="0" borderId="24" xfId="2" applyFont="1" applyBorder="1" applyAlignment="1" applyProtection="1">
      <alignment horizontal="center"/>
      <protection locked="0"/>
    </xf>
    <xf numFmtId="0" fontId="17" fillId="0" borderId="41" xfId="2" applyFont="1" applyBorder="1" applyAlignment="1" applyProtection="1">
      <alignment horizontal="center"/>
      <protection locked="0"/>
    </xf>
    <xf numFmtId="3" fontId="18" fillId="0" borderId="27" xfId="2" applyNumberFormat="1" applyFont="1" applyBorder="1" applyAlignment="1" applyProtection="1">
      <alignment horizontal="center"/>
      <protection locked="0"/>
    </xf>
    <xf numFmtId="3" fontId="18" fillId="0" borderId="20" xfId="2" applyNumberFormat="1" applyFont="1" applyBorder="1" applyAlignment="1" applyProtection="1">
      <alignment horizontal="center"/>
      <protection locked="0"/>
    </xf>
    <xf numFmtId="0" fontId="17" fillId="0" borderId="43" xfId="2" applyFont="1" applyBorder="1" applyAlignment="1" applyProtection="1">
      <alignment horizontal="center"/>
      <protection locked="0"/>
    </xf>
    <xf numFmtId="3" fontId="18" fillId="0" borderId="42" xfId="2" applyNumberFormat="1" applyFont="1" applyBorder="1" applyAlignment="1" applyProtection="1">
      <alignment horizontal="center"/>
      <protection locked="0"/>
    </xf>
    <xf numFmtId="3" fontId="18" fillId="0" borderId="44" xfId="2" applyNumberFormat="1" applyFont="1" applyBorder="1" applyAlignment="1" applyProtection="1">
      <alignment horizontal="center"/>
      <protection locked="0"/>
    </xf>
    <xf numFmtId="0" fontId="2" fillId="0" borderId="28" xfId="2" applyBorder="1" applyAlignment="1">
      <alignment horizontal="center"/>
    </xf>
    <xf numFmtId="0" fontId="2" fillId="0" borderId="29" xfId="2" applyBorder="1" applyAlignment="1">
      <alignment horizontal="center"/>
    </xf>
    <xf numFmtId="0" fontId="17" fillId="0" borderId="45" xfId="2" applyFont="1" applyBorder="1" applyAlignment="1" applyProtection="1">
      <alignment horizontal="center"/>
      <protection locked="0"/>
    </xf>
    <xf numFmtId="0" fontId="17" fillId="0" borderId="25" xfId="2" applyFont="1" applyBorder="1" applyAlignment="1" applyProtection="1">
      <alignment horizontal="center"/>
      <protection locked="0"/>
    </xf>
    <xf numFmtId="0" fontId="17" fillId="0" borderId="46" xfId="2" applyFont="1" applyBorder="1" applyAlignment="1" applyProtection="1">
      <alignment horizontal="center"/>
      <protection locked="0"/>
    </xf>
    <xf numFmtId="0" fontId="2" fillId="0" borderId="1" xfId="2" applyBorder="1" applyAlignment="1">
      <alignment horizontal="center" vertical="center"/>
    </xf>
    <xf numFmtId="0" fontId="2" fillId="0" borderId="47" xfId="2" applyBorder="1" applyAlignment="1">
      <alignment horizontal="center" vertical="center"/>
    </xf>
    <xf numFmtId="0" fontId="2" fillId="0" borderId="48" xfId="2" applyBorder="1" applyAlignment="1">
      <alignment horizontal="center" vertical="center"/>
    </xf>
    <xf numFmtId="0" fontId="2" fillId="0" borderId="49" xfId="2" applyBorder="1" applyAlignment="1">
      <alignment horizontal="center" vertical="center"/>
    </xf>
    <xf numFmtId="0" fontId="4" fillId="0" borderId="19" xfId="2" applyFont="1" applyBorder="1" applyAlignment="1">
      <alignment horizontal="center"/>
    </xf>
    <xf numFmtId="0" fontId="2" fillId="0" borderId="13" xfId="2" applyBorder="1" applyAlignment="1">
      <alignment horizontal="centerContinuous" vertical="center" wrapText="1"/>
    </xf>
    <xf numFmtId="0" fontId="2" fillId="0" borderId="6" xfId="2" applyBorder="1" applyAlignment="1">
      <alignment horizontal="centerContinuous" vertical="center" wrapText="1"/>
    </xf>
    <xf numFmtId="3" fontId="11" fillId="0" borderId="28" xfId="2" applyNumberFormat="1" applyFont="1" applyBorder="1" applyAlignment="1" applyProtection="1">
      <alignment horizontal="center" vertical="center"/>
    </xf>
    <xf numFmtId="0" fontId="2" fillId="0" borderId="2" xfId="2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2" fillId="0" borderId="13" xfId="2" applyBorder="1" applyAlignment="1">
      <alignment horizontal="center" vertical="center" wrapText="1"/>
    </xf>
    <xf numFmtId="0" fontId="2" fillId="0" borderId="30" xfId="2" applyBorder="1" applyAlignment="1">
      <alignment horizontal="center" vertical="center" wrapText="1"/>
    </xf>
    <xf numFmtId="0" fontId="12" fillId="0" borderId="50" xfId="2" applyFont="1" applyBorder="1" applyAlignment="1" applyProtection="1">
      <alignment horizontal="center" vertical="center" wrapText="1"/>
      <protection locked="0"/>
    </xf>
    <xf numFmtId="0" fontId="12" fillId="0" borderId="48" xfId="2" applyFont="1" applyBorder="1" applyAlignment="1" applyProtection="1">
      <alignment horizontal="center" vertical="center"/>
      <protection locked="0"/>
    </xf>
    <xf numFmtId="0" fontId="12" fillId="0" borderId="49" xfId="2" applyFont="1" applyBorder="1" applyAlignment="1" applyProtection="1">
      <alignment horizontal="center" vertical="center"/>
      <protection locked="0"/>
    </xf>
    <xf numFmtId="0" fontId="2" fillId="0" borderId="50" xfId="2" applyBorder="1" applyAlignment="1">
      <alignment horizontal="center" vertical="center" wrapText="1"/>
    </xf>
    <xf numFmtId="0" fontId="27" fillId="0" borderId="34" xfId="0" applyFont="1" applyBorder="1" applyAlignment="1" applyProtection="1">
      <alignment horizontal="center"/>
    </xf>
    <xf numFmtId="0" fontId="27" fillId="0" borderId="35" xfId="0" applyFont="1" applyBorder="1" applyAlignment="1" applyProtection="1">
      <alignment horizontal="center"/>
    </xf>
    <xf numFmtId="0" fontId="27" fillId="4" borderId="36" xfId="0" applyFont="1" applyFill="1" applyBorder="1" applyAlignment="1" applyProtection="1">
      <alignment horizontal="center"/>
    </xf>
    <xf numFmtId="1" fontId="2" fillId="0" borderId="50" xfId="2" applyNumberFormat="1" applyBorder="1" applyAlignment="1">
      <alignment horizontal="center" vertical="center" wrapText="1"/>
    </xf>
    <xf numFmtId="0" fontId="3" fillId="0" borderId="2" xfId="2" applyFont="1" applyBorder="1" applyAlignment="1" applyProtection="1">
      <alignment horizontal="center" vertical="center" wrapText="1"/>
    </xf>
    <xf numFmtId="0" fontId="4" fillId="0" borderId="50" xfId="2" applyFont="1" applyBorder="1" applyAlignment="1" applyProtection="1">
      <alignment horizontal="center"/>
    </xf>
    <xf numFmtId="0" fontId="4" fillId="0" borderId="48" xfId="2" applyFont="1" applyBorder="1" applyAlignment="1" applyProtection="1">
      <alignment horizontal="center"/>
    </xf>
    <xf numFmtId="0" fontId="4" fillId="0" borderId="49" xfId="2" applyFont="1" applyBorder="1" applyAlignment="1" applyProtection="1">
      <alignment horizontal="center"/>
    </xf>
    <xf numFmtId="0" fontId="4" fillId="6" borderId="48" xfId="2" applyFont="1" applyFill="1" applyBorder="1" applyAlignment="1" applyProtection="1">
      <alignment horizontal="center"/>
    </xf>
    <xf numFmtId="0" fontId="4" fillId="0" borderId="51" xfId="2" applyFont="1" applyBorder="1" applyAlignment="1" applyProtection="1">
      <alignment horizontal="center"/>
    </xf>
    <xf numFmtId="0" fontId="3" fillId="0" borderId="3" xfId="2" applyFont="1" applyBorder="1" applyAlignment="1" applyProtection="1">
      <alignment horizontal="center" vertical="center"/>
    </xf>
    <xf numFmtId="0" fontId="4" fillId="0" borderId="47" xfId="2" applyFont="1" applyBorder="1" applyAlignment="1" applyProtection="1">
      <alignment horizontal="center"/>
    </xf>
    <xf numFmtId="0" fontId="4" fillId="6" borderId="50" xfId="2" applyFont="1" applyFill="1" applyBorder="1" applyAlignment="1" applyProtection="1">
      <alignment horizontal="center"/>
    </xf>
    <xf numFmtId="0" fontId="4" fillId="6" borderId="49" xfId="2" applyFont="1" applyFill="1" applyBorder="1" applyAlignment="1" applyProtection="1">
      <alignment horizontal="center"/>
    </xf>
    <xf numFmtId="0" fontId="2" fillId="2" borderId="13" xfId="2" applyFill="1" applyBorder="1" applyAlignment="1" applyProtection="1">
      <alignment horizontal="center"/>
    </xf>
    <xf numFmtId="0" fontId="2" fillId="2" borderId="11" xfId="2" applyFill="1" applyBorder="1" applyAlignment="1" applyProtection="1">
      <alignment horizontal="center"/>
    </xf>
    <xf numFmtId="0" fontId="2" fillId="2" borderId="14" xfId="2" applyFill="1" applyBorder="1" applyAlignment="1" applyProtection="1">
      <alignment horizontal="center"/>
    </xf>
    <xf numFmtId="0" fontId="2" fillId="6" borderId="30" xfId="2" applyFill="1" applyBorder="1" applyAlignment="1" applyProtection="1">
      <alignment horizontal="center"/>
    </xf>
    <xf numFmtId="0" fontId="2" fillId="6" borderId="31" xfId="2" applyFill="1" applyBorder="1" applyAlignment="1" applyProtection="1">
      <alignment horizontal="center"/>
    </xf>
    <xf numFmtId="0" fontId="2" fillId="6" borderId="33" xfId="2" applyFill="1" applyBorder="1" applyAlignment="1" applyProtection="1">
      <alignment horizontal="center"/>
    </xf>
    <xf numFmtId="1" fontId="3" fillId="0" borderId="9" xfId="2" applyNumberFormat="1" applyFont="1" applyBorder="1" applyAlignment="1" applyProtection="1">
      <alignment horizontal="center" vertical="center"/>
    </xf>
    <xf numFmtId="1" fontId="3" fillId="0" borderId="0" xfId="2" applyNumberFormat="1" applyFont="1" applyBorder="1" applyAlignment="1" applyProtection="1">
      <alignment horizontal="center" vertical="center"/>
    </xf>
    <xf numFmtId="1" fontId="3" fillId="6" borderId="52" xfId="2" applyNumberFormat="1" applyFont="1" applyFill="1" applyBorder="1" applyAlignment="1" applyProtection="1">
      <alignment horizontal="center" vertical="center"/>
    </xf>
    <xf numFmtId="1" fontId="3" fillId="6" borderId="53" xfId="2" applyNumberFormat="1" applyFont="1" applyFill="1" applyBorder="1" applyAlignment="1" applyProtection="1">
      <alignment horizontal="center" vertical="center"/>
    </xf>
    <xf numFmtId="1" fontId="3" fillId="6" borderId="54" xfId="2" applyNumberFormat="1" applyFont="1" applyFill="1" applyBorder="1" applyAlignment="1" applyProtection="1">
      <alignment horizontal="center" vertical="center"/>
    </xf>
    <xf numFmtId="164" fontId="3" fillId="0" borderId="8" xfId="2" applyNumberFormat="1" applyFont="1" applyBorder="1" applyAlignment="1" applyProtection="1">
      <alignment horizontal="center" vertical="center"/>
    </xf>
    <xf numFmtId="1" fontId="3" fillId="6" borderId="34" xfId="2" applyNumberFormat="1" applyFont="1" applyFill="1" applyBorder="1" applyAlignment="1" applyProtection="1">
      <alignment horizontal="center" vertical="center"/>
    </xf>
    <xf numFmtId="0" fontId="3" fillId="0" borderId="1" xfId="2" applyFont="1" applyBorder="1" applyAlignment="1" applyProtection="1">
      <alignment horizontal="center" vertical="center"/>
    </xf>
    <xf numFmtId="1" fontId="3" fillId="6" borderId="50" xfId="2" applyNumberFormat="1" applyFont="1" applyFill="1" applyBorder="1" applyAlignment="1" applyProtection="1">
      <alignment horizontal="center" vertical="center"/>
    </xf>
    <xf numFmtId="1" fontId="3" fillId="6" borderId="48" xfId="2" applyNumberFormat="1" applyFont="1" applyFill="1" applyBorder="1" applyAlignment="1" applyProtection="1">
      <alignment horizontal="center" vertical="center"/>
    </xf>
    <xf numFmtId="1" fontId="3" fillId="6" borderId="49" xfId="2" applyNumberFormat="1" applyFont="1" applyFill="1" applyBorder="1" applyAlignment="1" applyProtection="1">
      <alignment horizontal="center" vertical="center"/>
    </xf>
    <xf numFmtId="0" fontId="8" fillId="0" borderId="0" xfId="2" applyFont="1" applyAlignment="1" applyProtection="1">
      <alignment horizontal="center"/>
    </xf>
    <xf numFmtId="164" fontId="8" fillId="0" borderId="1" xfId="2" applyNumberFormat="1" applyFont="1" applyBorder="1" applyAlignment="1" applyProtection="1">
      <alignment horizontal="center"/>
    </xf>
    <xf numFmtId="0" fontId="15" fillId="0" borderId="16" xfId="2" applyFont="1" applyBorder="1"/>
    <xf numFmtId="0" fontId="2" fillId="0" borderId="10" xfId="2" applyBorder="1"/>
    <xf numFmtId="0" fontId="2" fillId="0" borderId="20" xfId="2" applyBorder="1" applyAlignment="1">
      <alignment horizontal="center"/>
    </xf>
    <xf numFmtId="0" fontId="2" fillId="0" borderId="19" xfId="2" applyFill="1" applyBorder="1" applyAlignment="1">
      <alignment horizontal="center"/>
    </xf>
    <xf numFmtId="0" fontId="2" fillId="0" borderId="22" xfId="2" applyFill="1" applyBorder="1" applyAlignment="1">
      <alignment horizontal="center"/>
    </xf>
    <xf numFmtId="0" fontId="2" fillId="0" borderId="5" xfId="2" applyBorder="1"/>
    <xf numFmtId="0" fontId="2" fillId="0" borderId="27" xfId="2" applyBorder="1" applyAlignment="1">
      <alignment horizontal="center"/>
    </xf>
    <xf numFmtId="0" fontId="2" fillId="0" borderId="32" xfId="2" applyFill="1" applyBorder="1" applyAlignment="1">
      <alignment horizontal="center"/>
    </xf>
    <xf numFmtId="9" fontId="8" fillId="0" borderId="29" xfId="2" applyNumberFormat="1" applyFont="1" applyBorder="1" applyAlignment="1" applyProtection="1">
      <alignment horizontal="center" vertical="center"/>
    </xf>
    <xf numFmtId="167" fontId="24" fillId="7" borderId="1" xfId="2" applyNumberFormat="1" applyFont="1" applyFill="1" applyBorder="1" applyAlignment="1" applyProtection="1">
      <alignment horizontal="center"/>
    </xf>
    <xf numFmtId="2" fontId="23" fillId="6" borderId="4" xfId="2" applyNumberFormat="1" applyFont="1" applyFill="1" applyBorder="1" applyAlignment="1" applyProtection="1">
      <alignment horizontal="center" vertical="center"/>
    </xf>
    <xf numFmtId="1" fontId="23" fillId="6" borderId="4" xfId="2" applyNumberFormat="1" applyFont="1" applyFill="1" applyBorder="1" applyAlignment="1" applyProtection="1">
      <alignment horizontal="center" vertical="center"/>
    </xf>
    <xf numFmtId="0" fontId="23" fillId="6" borderId="1" xfId="2" applyFont="1" applyFill="1" applyBorder="1" applyAlignment="1" applyProtection="1">
      <alignment horizontal="center" vertical="center" wrapText="1"/>
    </xf>
    <xf numFmtId="166" fontId="23" fillId="6" borderId="1" xfId="2" applyNumberFormat="1" applyFont="1" applyFill="1" applyBorder="1" applyAlignment="1" applyProtection="1">
      <alignment horizontal="center" vertical="center" wrapText="1"/>
    </xf>
    <xf numFmtId="2" fontId="23" fillId="0" borderId="1" xfId="2" applyNumberFormat="1" applyFont="1" applyBorder="1" applyAlignment="1" applyProtection="1">
      <alignment horizontal="center" vertical="center"/>
    </xf>
    <xf numFmtId="1" fontId="23" fillId="0" borderId="1" xfId="2" applyNumberFormat="1" applyFont="1" applyBorder="1" applyAlignment="1" applyProtection="1">
      <alignment horizontal="center" vertical="center"/>
    </xf>
    <xf numFmtId="0" fontId="15" fillId="0" borderId="0" xfId="2" applyFont="1" applyBorder="1" applyAlignment="1">
      <alignment horizontal="centerContinuous" vertical="center"/>
    </xf>
    <xf numFmtId="0" fontId="19" fillId="2" borderId="17" xfId="2" applyFont="1" applyFill="1" applyBorder="1" applyAlignment="1" applyProtection="1">
      <alignment horizontal="center"/>
    </xf>
    <xf numFmtId="0" fontId="4" fillId="0" borderId="19" xfId="2" applyFont="1" applyBorder="1" applyAlignment="1" applyProtection="1">
      <alignment horizontal="center"/>
    </xf>
    <xf numFmtId="0" fontId="19" fillId="2" borderId="27" xfId="2" applyFont="1" applyFill="1" applyBorder="1" applyAlignment="1" applyProtection="1">
      <alignment horizontal="center"/>
    </xf>
    <xf numFmtId="0" fontId="4" fillId="0" borderId="32" xfId="2" applyFont="1" applyBorder="1" applyAlignment="1" applyProtection="1">
      <alignment horizontal="center"/>
    </xf>
    <xf numFmtId="0" fontId="19" fillId="2" borderId="20" xfId="2" applyFont="1" applyFill="1" applyBorder="1" applyAlignment="1" applyProtection="1">
      <alignment horizontal="center"/>
    </xf>
    <xf numFmtId="0" fontId="4" fillId="0" borderId="22" xfId="2" applyFont="1" applyBorder="1" applyAlignment="1" applyProtection="1">
      <alignment horizontal="center"/>
    </xf>
    <xf numFmtId="0" fontId="19" fillId="3" borderId="27" xfId="2" applyFont="1" applyFill="1" applyBorder="1" applyAlignment="1" applyProtection="1">
      <alignment horizontal="center"/>
    </xf>
    <xf numFmtId="0" fontId="4" fillId="3" borderId="32" xfId="2" applyFont="1" applyFill="1" applyBorder="1" applyAlignment="1" applyProtection="1">
      <alignment horizontal="center"/>
    </xf>
    <xf numFmtId="169" fontId="23" fillId="3" borderId="4" xfId="2" applyNumberFormat="1" applyFont="1" applyFill="1" applyBorder="1" applyAlignment="1" applyProtection="1">
      <alignment horizontal="center" vertical="center"/>
    </xf>
    <xf numFmtId="3" fontId="23" fillId="3" borderId="4" xfId="2" applyNumberFormat="1" applyFont="1" applyFill="1" applyBorder="1" applyAlignment="1" applyProtection="1">
      <alignment horizontal="center" vertical="center"/>
    </xf>
    <xf numFmtId="0" fontId="19" fillId="2" borderId="55" xfId="2" applyFont="1" applyFill="1" applyBorder="1" applyAlignment="1" applyProtection="1">
      <alignment horizontal="center"/>
    </xf>
    <xf numFmtId="0" fontId="4" fillId="0" borderId="56" xfId="2" applyFont="1" applyBorder="1" applyAlignment="1" applyProtection="1">
      <alignment horizontal="center"/>
    </xf>
    <xf numFmtId="169" fontId="23" fillId="0" borderId="3" xfId="2" applyNumberFormat="1" applyFont="1" applyBorder="1" applyAlignment="1" applyProtection="1">
      <alignment horizontal="center" vertical="center"/>
    </xf>
    <xf numFmtId="3" fontId="23" fillId="0" borderId="3" xfId="2" applyNumberFormat="1" applyFont="1" applyBorder="1" applyAlignment="1" applyProtection="1">
      <alignment horizontal="center" vertical="center"/>
    </xf>
    <xf numFmtId="164" fontId="23" fillId="0" borderId="3" xfId="2" applyNumberFormat="1" applyFont="1" applyBorder="1" applyAlignment="1" applyProtection="1">
      <alignment horizontal="center" vertical="center"/>
    </xf>
    <xf numFmtId="0" fontId="23" fillId="0" borderId="3" xfId="2" applyFont="1" applyBorder="1" applyAlignment="1" applyProtection="1">
      <alignment horizontal="center" vertical="center"/>
    </xf>
    <xf numFmtId="0" fontId="19" fillId="2" borderId="42" xfId="2" applyFont="1" applyFill="1" applyBorder="1" applyAlignment="1" applyProtection="1">
      <alignment horizontal="center"/>
    </xf>
    <xf numFmtId="0" fontId="4" fillId="0" borderId="44" xfId="2" applyFont="1" applyBorder="1" applyAlignment="1" applyProtection="1">
      <alignment horizontal="center"/>
    </xf>
    <xf numFmtId="0" fontId="19" fillId="3" borderId="17" xfId="2" applyFont="1" applyFill="1" applyBorder="1" applyAlignment="1" applyProtection="1">
      <alignment horizontal="center"/>
    </xf>
    <xf numFmtId="0" fontId="4" fillId="3" borderId="19" xfId="2" applyFont="1" applyFill="1" applyBorder="1" applyAlignment="1" applyProtection="1">
      <alignment horizontal="center"/>
    </xf>
    <xf numFmtId="169" fontId="23" fillId="3" borderId="1" xfId="2" applyNumberFormat="1" applyFont="1" applyFill="1" applyBorder="1" applyAlignment="1" applyProtection="1">
      <alignment horizontal="center" vertical="center"/>
    </xf>
    <xf numFmtId="3" fontId="23" fillId="3" borderId="1" xfId="2" applyNumberFormat="1" applyFont="1" applyFill="1" applyBorder="1" applyAlignment="1" applyProtection="1">
      <alignment horizontal="center" vertical="center"/>
    </xf>
    <xf numFmtId="164" fontId="23" fillId="3" borderId="1" xfId="2" applyNumberFormat="1" applyFont="1" applyFill="1" applyBorder="1" applyAlignment="1" applyProtection="1">
      <alignment horizontal="center" vertical="center"/>
    </xf>
    <xf numFmtId="0" fontId="23" fillId="3" borderId="1" xfId="2" applyFont="1" applyFill="1" applyBorder="1" applyAlignment="1" applyProtection="1">
      <alignment horizontal="center" vertical="center"/>
    </xf>
    <xf numFmtId="0" fontId="19" fillId="3" borderId="20" xfId="2" applyFont="1" applyFill="1" applyBorder="1" applyAlignment="1" applyProtection="1">
      <alignment horizontal="center"/>
    </xf>
    <xf numFmtId="0" fontId="4" fillId="3" borderId="22" xfId="2" applyFont="1" applyFill="1" applyBorder="1" applyAlignment="1" applyProtection="1">
      <alignment horizontal="center"/>
    </xf>
    <xf numFmtId="2" fontId="23" fillId="0" borderId="3" xfId="2" applyNumberFormat="1" applyFont="1" applyBorder="1" applyAlignment="1" applyProtection="1">
      <alignment horizontal="center" vertical="center"/>
    </xf>
    <xf numFmtId="1" fontId="23" fillId="0" borderId="3" xfId="2" applyNumberFormat="1" applyFont="1" applyBorder="1" applyAlignment="1" applyProtection="1">
      <alignment horizontal="center" vertical="center"/>
    </xf>
    <xf numFmtId="0" fontId="23" fillId="0" borderId="4" xfId="2" applyFont="1" applyBorder="1" applyAlignment="1" applyProtection="1">
      <alignment horizontal="center" vertical="center" wrapText="1"/>
    </xf>
    <xf numFmtId="2" fontId="23" fillId="6" borderId="1" xfId="2" applyNumberFormat="1" applyFont="1" applyFill="1" applyBorder="1" applyAlignment="1" applyProtection="1">
      <alignment horizontal="center" vertical="center"/>
    </xf>
    <xf numFmtId="1" fontId="23" fillId="6" borderId="1" xfId="2" applyNumberFormat="1" applyFont="1" applyFill="1" applyBorder="1" applyAlignment="1" applyProtection="1">
      <alignment horizontal="center" vertical="center"/>
    </xf>
    <xf numFmtId="166" fontId="23" fillId="0" borderId="2" xfId="2" applyNumberFormat="1" applyFont="1" applyBorder="1" applyAlignment="1" applyProtection="1">
      <alignment horizontal="center" vertical="center" wrapText="1"/>
    </xf>
    <xf numFmtId="166" fontId="23" fillId="0" borderId="4" xfId="2" applyNumberFormat="1" applyFont="1" applyBorder="1" applyAlignment="1" applyProtection="1">
      <alignment horizontal="center" vertical="center" wrapText="1"/>
    </xf>
    <xf numFmtId="165" fontId="22" fillId="3" borderId="1" xfId="2" applyNumberFormat="1" applyFont="1" applyFill="1" applyBorder="1" applyAlignment="1">
      <alignment horizontal="center" vertical="center"/>
    </xf>
    <xf numFmtId="165" fontId="21" fillId="3" borderId="1" xfId="2" applyNumberFormat="1" applyFont="1" applyFill="1" applyBorder="1" applyAlignment="1">
      <alignment horizontal="center" vertical="center"/>
    </xf>
    <xf numFmtId="0" fontId="19" fillId="0" borderId="16" xfId="2" applyFont="1" applyBorder="1" applyAlignment="1" applyProtection="1">
      <alignment horizontal="center" vertical="center"/>
    </xf>
    <xf numFmtId="164" fontId="19" fillId="0" borderId="1" xfId="2" applyNumberFormat="1" applyFont="1" applyBorder="1" applyAlignment="1" applyProtection="1">
      <alignment horizontal="center" vertical="center"/>
    </xf>
    <xf numFmtId="0" fontId="19" fillId="0" borderId="0" xfId="2" applyFont="1" applyAlignment="1" applyProtection="1">
      <alignment vertical="center"/>
    </xf>
    <xf numFmtId="0" fontId="19" fillId="0" borderId="0" xfId="2" applyFont="1" applyAlignment="1" applyProtection="1">
      <alignment horizontal="center" vertical="center"/>
    </xf>
    <xf numFmtId="0" fontId="19" fillId="0" borderId="1" xfId="2" applyFont="1" applyBorder="1" applyAlignment="1" applyProtection="1">
      <alignment horizontal="center" vertical="center"/>
    </xf>
    <xf numFmtId="164" fontId="19" fillId="5" borderId="1" xfId="2" applyNumberFormat="1" applyFont="1" applyFill="1" applyBorder="1" applyAlignment="1" applyProtection="1">
      <alignment horizontal="center" vertical="center"/>
    </xf>
    <xf numFmtId="0" fontId="2" fillId="0" borderId="0" xfId="2" applyFont="1" applyAlignment="1" applyProtection="1">
      <alignment horizontal="center" vertical="center"/>
      <protection locked="0"/>
    </xf>
    <xf numFmtId="0" fontId="19" fillId="0" borderId="0" xfId="2" applyFont="1" applyAlignment="1">
      <alignment horizontal="center" vertical="center"/>
    </xf>
    <xf numFmtId="0" fontId="2" fillId="8" borderId="0" xfId="2" applyFill="1" applyProtection="1">
      <protection locked="0"/>
    </xf>
    <xf numFmtId="0" fontId="33" fillId="8" borderId="0" xfId="2" applyFont="1" applyFill="1" applyAlignment="1"/>
    <xf numFmtId="0" fontId="2" fillId="8" borderId="0" xfId="2" applyFont="1" applyFill="1" applyProtection="1">
      <protection locked="0"/>
    </xf>
    <xf numFmtId="0" fontId="2" fillId="8" borderId="0" xfId="2" applyFill="1"/>
    <xf numFmtId="0" fontId="2" fillId="8" borderId="0" xfId="2" applyFill="1" applyAlignment="1">
      <alignment vertical="center"/>
    </xf>
    <xf numFmtId="0" fontId="19" fillId="8" borderId="0" xfId="2" applyFont="1" applyFill="1"/>
    <xf numFmtId="0" fontId="26" fillId="8" borderId="0" xfId="0" applyFont="1" applyFill="1"/>
    <xf numFmtId="0" fontId="19" fillId="8" borderId="0" xfId="2" applyFont="1" applyFill="1" applyAlignment="1">
      <alignment horizontal="center"/>
    </xf>
    <xf numFmtId="1" fontId="34" fillId="0" borderId="1" xfId="2" applyNumberFormat="1" applyFont="1" applyBorder="1" applyAlignment="1">
      <alignment horizontal="center"/>
    </xf>
    <xf numFmtId="0" fontId="4" fillId="0" borderId="40" xfId="2" applyFont="1" applyBorder="1" applyAlignment="1" applyProtection="1">
      <alignment horizontal="center"/>
    </xf>
    <xf numFmtId="0" fontId="4" fillId="0" borderId="24" xfId="2" applyFont="1" applyBorder="1" applyAlignment="1" applyProtection="1">
      <alignment horizontal="center"/>
    </xf>
    <xf numFmtId="0" fontId="4" fillId="0" borderId="57" xfId="2" applyFont="1" applyBorder="1" applyAlignment="1" applyProtection="1">
      <alignment horizontal="center"/>
    </xf>
    <xf numFmtId="0" fontId="4" fillId="3" borderId="40" xfId="2" applyFont="1" applyFill="1" applyBorder="1" applyAlignment="1" applyProtection="1">
      <alignment horizontal="center"/>
    </xf>
    <xf numFmtId="0" fontId="4" fillId="3" borderId="24" xfId="2" applyFont="1" applyFill="1" applyBorder="1" applyAlignment="1" applyProtection="1">
      <alignment horizontal="center"/>
    </xf>
    <xf numFmtId="0" fontId="4" fillId="3" borderId="41" xfId="2" applyFont="1" applyFill="1" applyBorder="1" applyAlignment="1" applyProtection="1">
      <alignment horizontal="center"/>
    </xf>
    <xf numFmtId="0" fontId="4" fillId="0" borderId="43" xfId="2" applyFont="1" applyBorder="1" applyAlignment="1" applyProtection="1">
      <alignment horizontal="center"/>
    </xf>
    <xf numFmtId="0" fontId="4" fillId="0" borderId="41" xfId="2" applyFont="1" applyBorder="1" applyAlignment="1" applyProtection="1">
      <alignment horizontal="center"/>
    </xf>
    <xf numFmtId="0" fontId="2" fillId="0" borderId="35" xfId="2" applyBorder="1" applyAlignment="1">
      <alignment horizontal="center"/>
    </xf>
    <xf numFmtId="0" fontId="2" fillId="0" borderId="58" xfId="2" applyBorder="1" applyAlignment="1">
      <alignment horizontal="center"/>
    </xf>
    <xf numFmtId="0" fontId="2" fillId="3" borderId="34" xfId="2" applyFill="1" applyBorder="1" applyAlignment="1">
      <alignment horizontal="center"/>
    </xf>
    <xf numFmtId="0" fontId="2" fillId="3" borderId="35" xfId="2" applyFill="1" applyBorder="1" applyAlignment="1">
      <alignment horizontal="center"/>
    </xf>
    <xf numFmtId="0" fontId="2" fillId="3" borderId="36" xfId="2" applyFill="1" applyBorder="1" applyAlignment="1">
      <alignment horizontal="center"/>
    </xf>
    <xf numFmtId="0" fontId="2" fillId="0" borderId="59" xfId="2" applyBorder="1" applyAlignment="1">
      <alignment horizontal="center"/>
    </xf>
    <xf numFmtId="0" fontId="2" fillId="0" borderId="36" xfId="2" applyBorder="1" applyAlignment="1">
      <alignment horizontal="center"/>
    </xf>
    <xf numFmtId="0" fontId="23" fillId="0" borderId="5" xfId="2" applyFont="1" applyBorder="1" applyAlignment="1" applyProtection="1">
      <alignment horizontal="center" vertical="center" wrapText="1"/>
    </xf>
    <xf numFmtId="1" fontId="2" fillId="0" borderId="19" xfId="2" applyNumberFormat="1" applyBorder="1" applyAlignment="1">
      <alignment horizontal="center"/>
    </xf>
    <xf numFmtId="1" fontId="2" fillId="0" borderId="22" xfId="2" applyNumberFormat="1" applyBorder="1" applyAlignment="1">
      <alignment horizontal="center"/>
    </xf>
    <xf numFmtId="0" fontId="4" fillId="0" borderId="22" xfId="2" applyFont="1" applyBorder="1" applyAlignment="1">
      <alignment horizontal="center"/>
    </xf>
    <xf numFmtId="164" fontId="18" fillId="0" borderId="18" xfId="2" applyNumberFormat="1" applyFont="1" applyBorder="1" applyAlignment="1" applyProtection="1">
      <alignment horizontal="center"/>
      <protection locked="0"/>
    </xf>
    <xf numFmtId="164" fontId="18" fillId="0" borderId="21" xfId="2" applyNumberFormat="1" applyFont="1" applyBorder="1" applyAlignment="1" applyProtection="1">
      <alignment horizontal="center"/>
      <protection locked="0"/>
    </xf>
    <xf numFmtId="0" fontId="2" fillId="5" borderId="6" xfId="2" applyFill="1" applyBorder="1" applyAlignment="1">
      <alignment horizontal="center"/>
    </xf>
    <xf numFmtId="0" fontId="8" fillId="0" borderId="37" xfId="2" applyFont="1" applyBorder="1" applyAlignment="1">
      <alignment horizontal="center" vertical="center"/>
    </xf>
    <xf numFmtId="0" fontId="8" fillId="0" borderId="38" xfId="2" applyFont="1" applyBorder="1" applyAlignment="1">
      <alignment horizontal="center" vertical="center"/>
    </xf>
    <xf numFmtId="0" fontId="8" fillId="0" borderId="39" xfId="2" applyFont="1" applyBorder="1" applyAlignment="1">
      <alignment horizontal="center" vertical="center"/>
    </xf>
    <xf numFmtId="0" fontId="2" fillId="0" borderId="20" xfId="2" applyFill="1" applyBorder="1" applyAlignment="1">
      <alignment horizontal="center"/>
    </xf>
    <xf numFmtId="0" fontId="8" fillId="0" borderId="18" xfId="2" applyFont="1" applyBorder="1" applyAlignment="1">
      <alignment horizontal="center"/>
    </xf>
    <xf numFmtId="0" fontId="8" fillId="0" borderId="21" xfId="2" applyFont="1" applyFill="1" applyBorder="1" applyAlignment="1">
      <alignment horizontal="center"/>
    </xf>
    <xf numFmtId="0" fontId="35" fillId="7" borderId="1" xfId="2" applyFont="1" applyFill="1" applyBorder="1" applyAlignment="1" applyProtection="1">
      <alignment horizontal="center" vertical="center" wrapText="1"/>
    </xf>
    <xf numFmtId="0" fontId="35" fillId="7" borderId="2" xfId="2" applyFont="1" applyFill="1" applyBorder="1" applyAlignment="1" applyProtection="1">
      <alignment horizontal="center" vertical="center" wrapText="1"/>
    </xf>
    <xf numFmtId="0" fontId="35" fillId="0" borderId="1" xfId="2" applyFont="1" applyFill="1" applyBorder="1" applyAlignment="1" applyProtection="1">
      <alignment horizontal="center" vertical="center" wrapText="1"/>
    </xf>
    <xf numFmtId="0" fontId="20" fillId="0" borderId="0" xfId="2" applyFont="1" applyBorder="1" applyAlignment="1">
      <alignment vertical="center"/>
    </xf>
    <xf numFmtId="167" fontId="21" fillId="7" borderId="1" xfId="2" applyNumberFormat="1" applyFont="1" applyFill="1" applyBorder="1" applyAlignment="1" applyProtection="1">
      <alignment horizontal="center"/>
    </xf>
    <xf numFmtId="167" fontId="21" fillId="7" borderId="5" xfId="2" applyNumberFormat="1" applyFont="1" applyFill="1" applyBorder="1" applyAlignment="1" applyProtection="1">
      <alignment horizontal="center" vertical="center"/>
    </xf>
    <xf numFmtId="0" fontId="8" fillId="0" borderId="17" xfId="2" applyFont="1" applyBorder="1"/>
    <xf numFmtId="0" fontId="8" fillId="0" borderId="27" xfId="2" applyFont="1" applyBorder="1"/>
    <xf numFmtId="0" fontId="8" fillId="0" borderId="20" xfId="2" applyFont="1" applyBorder="1"/>
    <xf numFmtId="0" fontId="8" fillId="5" borderId="22" xfId="2" applyFont="1" applyFill="1" applyBorder="1" applyAlignment="1">
      <alignment horizontal="center"/>
    </xf>
    <xf numFmtId="3" fontId="32" fillId="0" borderId="18" xfId="2" applyNumberFormat="1" applyFont="1" applyBorder="1" applyAlignment="1" applyProtection="1">
      <alignment horizontal="center"/>
      <protection locked="0"/>
    </xf>
    <xf numFmtId="165" fontId="15" fillId="0" borderId="21" xfId="2" applyNumberFormat="1" applyFont="1" applyBorder="1" applyAlignment="1" applyProtection="1">
      <alignment horizontal="center"/>
    </xf>
    <xf numFmtId="3" fontId="15" fillId="0" borderId="16" xfId="2" applyNumberFormat="1" applyFont="1" applyBorder="1" applyAlignment="1" applyProtection="1">
      <alignment horizontal="center" vertical="center"/>
    </xf>
    <xf numFmtId="0" fontId="8" fillId="0" borderId="1" xfId="2" applyFont="1" applyBorder="1" applyAlignment="1">
      <alignment horizontal="center" vertical="center"/>
    </xf>
    <xf numFmtId="9" fontId="18" fillId="0" borderId="44" xfId="1" applyFont="1" applyBorder="1" applyAlignment="1" applyProtection="1">
      <alignment horizontal="center"/>
      <protection locked="0"/>
    </xf>
    <xf numFmtId="9" fontId="18" fillId="0" borderId="32" xfId="1" applyFont="1" applyBorder="1" applyAlignment="1" applyProtection="1">
      <alignment horizontal="center"/>
      <protection locked="0"/>
    </xf>
    <xf numFmtId="9" fontId="18" fillId="0" borderId="22" xfId="1" applyFont="1" applyBorder="1" applyAlignment="1" applyProtection="1">
      <alignment horizontal="center"/>
      <protection locked="0"/>
    </xf>
    <xf numFmtId="0" fontId="25" fillId="0" borderId="0" xfId="2" applyFont="1" applyAlignment="1" applyProtection="1">
      <alignment horizontal="center" vertical="center" wrapText="1"/>
    </xf>
    <xf numFmtId="0" fontId="19" fillId="6" borderId="17" xfId="2" applyFont="1" applyFill="1" applyBorder="1" applyAlignment="1" applyProtection="1">
      <alignment horizontal="center"/>
    </xf>
    <xf numFmtId="0" fontId="4" fillId="6" borderId="19" xfId="2" applyFont="1" applyFill="1" applyBorder="1" applyAlignment="1" applyProtection="1">
      <alignment horizontal="center"/>
    </xf>
    <xf numFmtId="9" fontId="23" fillId="6" borderId="4" xfId="1" applyFont="1" applyFill="1" applyBorder="1" applyAlignment="1">
      <alignment horizontal="center" vertical="center"/>
    </xf>
    <xf numFmtId="0" fontId="19" fillId="6" borderId="27" xfId="2" applyFont="1" applyFill="1" applyBorder="1" applyAlignment="1" applyProtection="1">
      <alignment horizontal="center"/>
    </xf>
    <xf numFmtId="0" fontId="4" fillId="6" borderId="32" xfId="2" applyFont="1" applyFill="1" applyBorder="1" applyAlignment="1" applyProtection="1">
      <alignment horizontal="center"/>
    </xf>
    <xf numFmtId="0" fontId="19" fillId="6" borderId="20" xfId="2" applyFont="1" applyFill="1" applyBorder="1" applyAlignment="1" applyProtection="1">
      <alignment horizontal="center"/>
    </xf>
    <xf numFmtId="0" fontId="4" fillId="6" borderId="22" xfId="2" applyFont="1" applyFill="1" applyBorder="1" applyAlignment="1" applyProtection="1">
      <alignment horizontal="center"/>
    </xf>
    <xf numFmtId="0" fontId="8" fillId="9" borderId="38" xfId="2" applyFont="1" applyFill="1" applyBorder="1" applyAlignment="1">
      <alignment horizontal="center" vertical="center"/>
    </xf>
    <xf numFmtId="0" fontId="8" fillId="9" borderId="39" xfId="2" applyFont="1" applyFill="1" applyBorder="1" applyAlignment="1">
      <alignment horizontal="center" vertical="center"/>
    </xf>
    <xf numFmtId="0" fontId="2" fillId="9" borderId="6" xfId="2" applyFill="1" applyBorder="1" applyAlignment="1">
      <alignment horizontal="center"/>
    </xf>
    <xf numFmtId="0" fontId="18" fillId="9" borderId="18" xfId="2" applyFont="1" applyFill="1" applyBorder="1" applyAlignment="1" applyProtection="1">
      <alignment horizontal="center"/>
      <protection locked="0"/>
    </xf>
    <xf numFmtId="1" fontId="31" fillId="9" borderId="19" xfId="2" applyNumberFormat="1" applyFont="1" applyFill="1" applyBorder="1" applyAlignment="1" applyProtection="1">
      <alignment horizontal="center"/>
    </xf>
    <xf numFmtId="0" fontId="8" fillId="9" borderId="34" xfId="2" applyFont="1" applyFill="1" applyBorder="1" applyAlignment="1">
      <alignment horizontal="center"/>
    </xf>
    <xf numFmtId="0" fontId="18" fillId="9" borderId="23" xfId="2" applyFont="1" applyFill="1" applyBorder="1" applyAlignment="1" applyProtection="1">
      <alignment horizontal="center"/>
      <protection locked="0"/>
    </xf>
    <xf numFmtId="1" fontId="31" fillId="9" borderId="32" xfId="2" applyNumberFormat="1" applyFont="1" applyFill="1" applyBorder="1" applyAlignment="1" applyProtection="1">
      <alignment horizontal="center"/>
    </xf>
    <xf numFmtId="0" fontId="8" fillId="9" borderId="35" xfId="2" applyFont="1" applyFill="1" applyBorder="1" applyAlignment="1">
      <alignment horizontal="center"/>
    </xf>
    <xf numFmtId="0" fontId="18" fillId="9" borderId="21" xfId="2" applyFont="1" applyFill="1" applyBorder="1" applyAlignment="1" applyProtection="1">
      <alignment horizontal="center"/>
      <protection locked="0"/>
    </xf>
    <xf numFmtId="1" fontId="31" fillId="9" borderId="22" xfId="2" applyNumberFormat="1" applyFont="1" applyFill="1" applyBorder="1" applyAlignment="1" applyProtection="1">
      <alignment horizontal="center"/>
    </xf>
    <xf numFmtId="0" fontId="8" fillId="9" borderId="36" xfId="2" applyFont="1" applyFill="1" applyBorder="1" applyAlignment="1">
      <alignment horizontal="center"/>
    </xf>
    <xf numFmtId="9" fontId="15" fillId="9" borderId="17" xfId="1" applyFont="1" applyFill="1" applyBorder="1" applyAlignment="1" applyProtection="1">
      <alignment horizontal="center"/>
    </xf>
    <xf numFmtId="0" fontId="8" fillId="9" borderId="18" xfId="2" applyFont="1" applyFill="1" applyBorder="1"/>
    <xf numFmtId="0" fontId="2" fillId="9" borderId="19" xfId="2" applyFill="1" applyBorder="1"/>
    <xf numFmtId="9" fontId="15" fillId="9" borderId="27" xfId="1" applyFont="1" applyFill="1" applyBorder="1" applyAlignment="1" applyProtection="1">
      <alignment horizontal="center"/>
    </xf>
    <xf numFmtId="0" fontId="8" fillId="9" borderId="23" xfId="2" applyFont="1" applyFill="1" applyBorder="1"/>
    <xf numFmtId="0" fontId="2" fillId="9" borderId="32" xfId="2" applyFill="1" applyBorder="1"/>
    <xf numFmtId="9" fontId="15" fillId="9" borderId="20" xfId="1" applyFont="1" applyFill="1" applyBorder="1" applyAlignment="1" applyProtection="1">
      <alignment horizontal="center"/>
    </xf>
    <xf numFmtId="0" fontId="8" fillId="9" borderId="21" xfId="2" applyFont="1" applyFill="1" applyBorder="1"/>
    <xf numFmtId="0" fontId="2" fillId="9" borderId="22" xfId="2" applyFill="1" applyBorder="1"/>
    <xf numFmtId="0" fontId="2" fillId="0" borderId="2" xfId="2" applyBorder="1" applyAlignment="1">
      <alignment horizontal="center" vertical="center" wrapText="1"/>
    </xf>
    <xf numFmtId="0" fontId="8" fillId="0" borderId="0" xfId="2" applyFont="1" applyAlignment="1">
      <alignment horizontal="left" vertical="center"/>
    </xf>
    <xf numFmtId="0" fontId="2" fillId="0" borderId="1" xfId="2" applyBorder="1" applyAlignment="1">
      <alignment horizontal="center"/>
    </xf>
    <xf numFmtId="0" fontId="15" fillId="0" borderId="0" xfId="2" applyFont="1" applyBorder="1"/>
    <xf numFmtId="9" fontId="8" fillId="0" borderId="0" xfId="2" applyNumberFormat="1" applyFont="1" applyBorder="1" applyAlignment="1" applyProtection="1">
      <alignment horizontal="center" vertical="center"/>
    </xf>
    <xf numFmtId="0" fontId="2" fillId="0" borderId="0" xfId="2" applyFill="1" applyBorder="1" applyAlignment="1" applyProtection="1"/>
    <xf numFmtId="3" fontId="32" fillId="0" borderId="40" xfId="2" applyNumberFormat="1" applyFont="1" applyBorder="1" applyAlignment="1" applyProtection="1">
      <alignment horizontal="center"/>
      <protection locked="0"/>
    </xf>
    <xf numFmtId="0" fontId="8" fillId="0" borderId="1" xfId="2" applyFont="1" applyBorder="1" applyAlignment="1">
      <alignment horizontal="center"/>
    </xf>
    <xf numFmtId="0" fontId="10" fillId="0" borderId="0" xfId="2" applyFont="1" applyAlignment="1">
      <alignment vertical="center"/>
    </xf>
    <xf numFmtId="0" fontId="8" fillId="0" borderId="16" xfId="2" applyFont="1" applyBorder="1" applyAlignment="1">
      <alignment horizontal="center" vertical="center" wrapText="1"/>
    </xf>
    <xf numFmtId="0" fontId="30" fillId="0" borderId="18" xfId="2" applyFont="1" applyBorder="1" applyAlignment="1" applyProtection="1">
      <alignment horizontal="center"/>
      <protection locked="0"/>
    </xf>
    <xf numFmtId="0" fontId="30" fillId="0" borderId="19" xfId="2" applyFont="1" applyBorder="1" applyAlignment="1" applyProtection="1">
      <alignment horizontal="center" vertical="center"/>
      <protection locked="0"/>
    </xf>
    <xf numFmtId="0" fontId="30" fillId="0" borderId="22" xfId="2" applyFont="1" applyBorder="1" applyAlignment="1" applyProtection="1">
      <alignment horizontal="center" vertical="center"/>
      <protection locked="0"/>
    </xf>
    <xf numFmtId="167" fontId="36" fillId="7" borderId="1" xfId="2" applyNumberFormat="1" applyFont="1" applyFill="1" applyBorder="1" applyAlignment="1" applyProtection="1">
      <alignment horizontal="center"/>
    </xf>
    <xf numFmtId="0" fontId="0" fillId="11" borderId="63" xfId="0" applyFill="1" applyBorder="1" applyAlignment="1">
      <alignment horizontal="center" vertical="center"/>
    </xf>
    <xf numFmtId="0" fontId="0" fillId="11" borderId="23" xfId="0" applyFill="1" applyBorder="1" applyAlignment="1">
      <alignment vertical="center"/>
    </xf>
    <xf numFmtId="0" fontId="0" fillId="11" borderId="23" xfId="0" applyFill="1" applyBorder="1" applyAlignment="1">
      <alignment horizontal="center" vertical="center"/>
    </xf>
    <xf numFmtId="0" fontId="37" fillId="12" borderId="23" xfId="0" applyFont="1" applyFill="1" applyBorder="1" applyAlignment="1">
      <alignment vertical="center"/>
    </xf>
    <xf numFmtId="0" fontId="37" fillId="12" borderId="23" xfId="0" applyFont="1" applyFill="1" applyBorder="1" applyAlignment="1">
      <alignment horizontal="center" vertical="center"/>
    </xf>
    <xf numFmtId="165" fontId="37" fillId="12" borderId="23" xfId="0" applyNumberFormat="1" applyFont="1" applyFill="1" applyBorder="1" applyAlignment="1">
      <alignment horizontal="center" vertical="center"/>
    </xf>
    <xf numFmtId="170" fontId="37" fillId="12" borderId="23" xfId="0" applyNumberFormat="1" applyFont="1" applyFill="1" applyBorder="1" applyAlignment="1">
      <alignment vertical="center"/>
    </xf>
    <xf numFmtId="165" fontId="0" fillId="11" borderId="23" xfId="0" applyNumberFormat="1" applyFill="1" applyBorder="1" applyAlignment="1">
      <alignment horizontal="center" vertical="center"/>
    </xf>
    <xf numFmtId="170" fontId="0" fillId="11" borderId="23" xfId="0" applyNumberForma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10" borderId="62" xfId="0" applyFill="1" applyBorder="1" applyAlignment="1">
      <alignment horizontal="center" vertical="center" wrapText="1"/>
    </xf>
    <xf numFmtId="0" fontId="0" fillId="11" borderId="21" xfId="0" applyFill="1" applyBorder="1" applyAlignment="1">
      <alignment horizontal="center" vertical="center"/>
    </xf>
    <xf numFmtId="165" fontId="0" fillId="11" borderId="21" xfId="0" applyNumberFormat="1" applyFill="1" applyBorder="1" applyAlignment="1">
      <alignment horizontal="center" vertical="center"/>
    </xf>
    <xf numFmtId="0" fontId="37" fillId="12" borderId="63" xfId="0" applyFont="1" applyFill="1" applyBorder="1" applyAlignment="1">
      <alignment horizontal="center" vertical="center"/>
    </xf>
    <xf numFmtId="165" fontId="37" fillId="12" borderId="63" xfId="0" applyNumberFormat="1" applyFont="1" applyFill="1" applyBorder="1" applyAlignment="1">
      <alignment horizontal="center" vertical="center"/>
    </xf>
    <xf numFmtId="0" fontId="0" fillId="0" borderId="23" xfId="0" applyFill="1" applyBorder="1" applyAlignment="1">
      <alignment vertical="center"/>
    </xf>
    <xf numFmtId="0" fontId="0" fillId="0" borderId="75" xfId="0" applyFill="1" applyBorder="1" applyAlignment="1">
      <alignment horizontal="center" vertical="center" textRotation="90" wrapText="1"/>
    </xf>
    <xf numFmtId="0" fontId="0" fillId="0" borderId="0" xfId="0" applyFill="1" applyAlignment="1">
      <alignment textRotation="90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167" fontId="2" fillId="0" borderId="0" xfId="2" applyNumberFormat="1" applyAlignment="1">
      <alignment vertical="center"/>
    </xf>
    <xf numFmtId="165" fontId="2" fillId="0" borderId="0" xfId="2" applyNumberFormat="1" applyAlignment="1">
      <alignment horizontal="center"/>
    </xf>
    <xf numFmtId="2" fontId="2" fillId="0" borderId="0" xfId="2" applyNumberFormat="1"/>
    <xf numFmtId="165" fontId="3" fillId="0" borderId="17" xfId="0" applyNumberFormat="1" applyFont="1" applyFill="1" applyBorder="1" applyAlignment="1">
      <alignment horizontal="center" vertical="center"/>
    </xf>
    <xf numFmtId="1" fontId="3" fillId="13" borderId="17" xfId="0" applyNumberFormat="1" applyFont="1" applyFill="1" applyBorder="1" applyAlignment="1">
      <alignment horizontal="center"/>
    </xf>
    <xf numFmtId="1" fontId="3" fillId="14" borderId="18" xfId="0" applyNumberFormat="1" applyFont="1" applyFill="1" applyBorder="1" applyAlignment="1">
      <alignment horizontal="center"/>
    </xf>
    <xf numFmtId="1" fontId="16" fillId="15" borderId="18" xfId="0" applyNumberFormat="1" applyFont="1" applyFill="1" applyBorder="1" applyAlignment="1">
      <alignment horizontal="center"/>
    </xf>
    <xf numFmtId="1" fontId="16" fillId="14" borderId="19" xfId="0" applyNumberFormat="1" applyFont="1" applyFill="1" applyBorder="1" applyAlignment="1">
      <alignment horizontal="center"/>
    </xf>
    <xf numFmtId="165" fontId="3" fillId="0" borderId="27" xfId="0" applyNumberFormat="1" applyFont="1" applyFill="1" applyBorder="1" applyAlignment="1">
      <alignment horizontal="center" vertical="center"/>
    </xf>
    <xf numFmtId="165" fontId="3" fillId="0" borderId="32" xfId="0" applyNumberFormat="1" applyFont="1" applyFill="1" applyBorder="1" applyAlignment="1">
      <alignment horizontal="center" vertical="center"/>
    </xf>
    <xf numFmtId="1" fontId="3" fillId="13" borderId="27" xfId="0" applyNumberFormat="1" applyFont="1" applyFill="1" applyBorder="1" applyAlignment="1">
      <alignment horizontal="center"/>
    </xf>
    <xf numFmtId="1" fontId="3" fillId="14" borderId="23" xfId="0" applyNumberFormat="1" applyFont="1" applyFill="1" applyBorder="1" applyAlignment="1">
      <alignment horizontal="center"/>
    </xf>
    <xf numFmtId="1" fontId="16" fillId="15" borderId="23" xfId="0" applyNumberFormat="1" applyFont="1" applyFill="1" applyBorder="1" applyAlignment="1">
      <alignment horizontal="center"/>
    </xf>
    <xf numFmtId="1" fontId="16" fillId="15" borderId="32" xfId="0" applyNumberFormat="1" applyFont="1" applyFill="1" applyBorder="1" applyAlignment="1">
      <alignment horizontal="center"/>
    </xf>
    <xf numFmtId="1" fontId="16" fillId="14" borderId="32" xfId="0" applyNumberFormat="1" applyFont="1" applyFill="1" applyBorder="1" applyAlignment="1">
      <alignment horizontal="center"/>
    </xf>
    <xf numFmtId="1" fontId="3" fillId="14" borderId="32" xfId="0" applyNumberFormat="1" applyFont="1" applyFill="1" applyBorder="1" applyAlignment="1">
      <alignment horizontal="center"/>
    </xf>
    <xf numFmtId="1" fontId="16" fillId="14" borderId="23" xfId="0" applyNumberFormat="1" applyFont="1" applyFill="1" applyBorder="1" applyAlignment="1">
      <alignment horizontal="center"/>
    </xf>
    <xf numFmtId="1" fontId="3" fillId="13" borderId="20" xfId="0" applyNumberFormat="1" applyFont="1" applyFill="1" applyBorder="1" applyAlignment="1">
      <alignment horizontal="center"/>
    </xf>
    <xf numFmtId="1" fontId="3" fillId="14" borderId="21" xfId="0" applyNumberFormat="1" applyFont="1" applyFill="1" applyBorder="1" applyAlignment="1">
      <alignment horizontal="center"/>
    </xf>
    <xf numFmtId="1" fontId="3" fillId="14" borderId="22" xfId="0" applyNumberFormat="1" applyFont="1" applyFill="1" applyBorder="1" applyAlignment="1">
      <alignment horizontal="center"/>
    </xf>
    <xf numFmtId="1" fontId="3" fillId="14" borderId="20" xfId="0" applyNumberFormat="1" applyFont="1" applyFill="1" applyBorder="1" applyAlignment="1">
      <alignment horizontal="center"/>
    </xf>
    <xf numFmtId="1" fontId="16" fillId="15" borderId="21" xfId="0" applyNumberFormat="1" applyFont="1" applyFill="1" applyBorder="1" applyAlignment="1">
      <alignment horizontal="center"/>
    </xf>
    <xf numFmtId="1" fontId="16" fillId="14" borderId="22" xfId="0" applyNumberFormat="1" applyFont="1" applyFill="1" applyBorder="1" applyAlignment="1">
      <alignment horizontal="center"/>
    </xf>
    <xf numFmtId="165" fontId="3" fillId="16" borderId="27" xfId="0" applyNumberFormat="1" applyFont="1" applyFill="1" applyBorder="1" applyAlignment="1">
      <alignment horizontal="center" vertical="center"/>
    </xf>
    <xf numFmtId="165" fontId="3" fillId="16" borderId="32" xfId="0" applyNumberFormat="1" applyFont="1" applyFill="1" applyBorder="1" applyAlignment="1">
      <alignment horizontal="center" vertical="center"/>
    </xf>
    <xf numFmtId="165" fontId="3" fillId="16" borderId="42" xfId="0" applyNumberFormat="1" applyFont="1" applyFill="1" applyBorder="1"/>
    <xf numFmtId="165" fontId="3" fillId="16" borderId="63" xfId="0" applyNumberFormat="1" applyFont="1" applyFill="1" applyBorder="1"/>
    <xf numFmtId="0" fontId="16" fillId="16" borderId="63" xfId="0" applyFont="1" applyFill="1" applyBorder="1"/>
    <xf numFmtId="0" fontId="16" fillId="16" borderId="44" xfId="0" applyFont="1" applyFill="1" applyBorder="1"/>
    <xf numFmtId="165" fontId="3" fillId="16" borderId="0" xfId="0" applyNumberFormat="1" applyFont="1" applyFill="1" applyBorder="1"/>
    <xf numFmtId="165" fontId="3" fillId="16" borderId="27" xfId="0" applyNumberFormat="1" applyFont="1" applyFill="1" applyBorder="1"/>
    <xf numFmtId="165" fontId="3" fillId="16" borderId="23" xfId="0" applyNumberFormat="1" applyFont="1" applyFill="1" applyBorder="1"/>
    <xf numFmtId="0" fontId="16" fillId="16" borderId="23" xfId="0" applyFont="1" applyFill="1" applyBorder="1"/>
    <xf numFmtId="0" fontId="16" fillId="16" borderId="32" xfId="0" applyFont="1" applyFill="1" applyBorder="1"/>
    <xf numFmtId="1" fontId="3" fillId="17" borderId="18" xfId="0" applyNumberFormat="1" applyFont="1" applyFill="1" applyBorder="1" applyAlignment="1">
      <alignment horizontal="center"/>
    </xf>
    <xf numFmtId="1" fontId="16" fillId="17" borderId="19" xfId="0" applyNumberFormat="1" applyFont="1" applyFill="1" applyBorder="1" applyAlignment="1">
      <alignment horizontal="center"/>
    </xf>
    <xf numFmtId="1" fontId="3" fillId="17" borderId="23" xfId="0" applyNumberFormat="1" applyFont="1" applyFill="1" applyBorder="1" applyAlignment="1">
      <alignment horizontal="center"/>
    </xf>
    <xf numFmtId="1" fontId="16" fillId="17" borderId="32" xfId="0" applyNumberFormat="1" applyFont="1" applyFill="1" applyBorder="1" applyAlignment="1">
      <alignment horizontal="center"/>
    </xf>
    <xf numFmtId="1" fontId="3" fillId="17" borderId="21" xfId="0" applyNumberFormat="1" applyFont="1" applyFill="1" applyBorder="1" applyAlignment="1">
      <alignment horizontal="center"/>
    </xf>
    <xf numFmtId="1" fontId="3" fillId="17" borderId="22" xfId="0" applyNumberFormat="1" applyFont="1" applyFill="1" applyBorder="1" applyAlignment="1">
      <alignment horizontal="center"/>
    </xf>
    <xf numFmtId="1" fontId="3" fillId="13" borderId="18" xfId="0" applyNumberFormat="1" applyFont="1" applyFill="1" applyBorder="1" applyAlignment="1">
      <alignment horizontal="center"/>
    </xf>
    <xf numFmtId="1" fontId="16" fillId="15" borderId="19" xfId="0" applyNumberFormat="1" applyFont="1" applyFill="1" applyBorder="1" applyAlignment="1">
      <alignment horizontal="center"/>
    </xf>
    <xf numFmtId="1" fontId="3" fillId="13" borderId="23" xfId="0" applyNumberFormat="1" applyFont="1" applyFill="1" applyBorder="1" applyAlignment="1">
      <alignment horizontal="center"/>
    </xf>
    <xf numFmtId="1" fontId="3" fillId="17" borderId="27" xfId="0" applyNumberFormat="1" applyFont="1" applyFill="1" applyBorder="1" applyAlignment="1">
      <alignment horizontal="center"/>
    </xf>
    <xf numFmtId="1" fontId="3" fillId="17" borderId="32" xfId="0" applyNumberFormat="1" applyFont="1" applyFill="1" applyBorder="1" applyAlignment="1">
      <alignment horizontal="center"/>
    </xf>
    <xf numFmtId="165" fontId="3" fillId="14" borderId="23" xfId="0" applyNumberFormat="1" applyFont="1" applyFill="1" applyBorder="1"/>
    <xf numFmtId="0" fontId="16" fillId="14" borderId="32" xfId="0" applyFont="1" applyFill="1" applyBorder="1"/>
    <xf numFmtId="165" fontId="3" fillId="0" borderId="20" xfId="0" applyNumberFormat="1" applyFont="1" applyFill="1" applyBorder="1" applyAlignment="1">
      <alignment horizontal="center" vertical="center"/>
    </xf>
    <xf numFmtId="165" fontId="3" fillId="0" borderId="22" xfId="0" applyNumberFormat="1" applyFont="1" applyFill="1" applyBorder="1" applyAlignment="1">
      <alignment horizontal="center" vertical="center"/>
    </xf>
    <xf numFmtId="0" fontId="16" fillId="14" borderId="22" xfId="0" applyFont="1" applyFill="1" applyBorder="1"/>
    <xf numFmtId="0" fontId="15" fillId="0" borderId="0" xfId="2" applyFont="1" applyAlignment="1">
      <alignment horizontal="center"/>
    </xf>
    <xf numFmtId="165" fontId="2" fillId="0" borderId="18" xfId="2" applyNumberFormat="1" applyBorder="1" applyAlignment="1">
      <alignment horizontal="center"/>
    </xf>
    <xf numFmtId="2" fontId="2" fillId="0" borderId="21" xfId="2" applyNumberFormat="1" applyBorder="1" applyAlignment="1">
      <alignment horizontal="center"/>
    </xf>
    <xf numFmtId="164" fontId="2" fillId="0" borderId="21" xfId="2" applyNumberFormat="1" applyBorder="1" applyAlignment="1">
      <alignment horizontal="center"/>
    </xf>
    <xf numFmtId="0" fontId="15" fillId="0" borderId="16" xfId="2" applyFont="1" applyBorder="1" applyAlignment="1">
      <alignment horizontal="left" vertical="center"/>
    </xf>
    <xf numFmtId="0" fontId="30" fillId="0" borderId="21" xfId="2" applyFont="1" applyFill="1" applyBorder="1" applyAlignment="1" applyProtection="1">
      <alignment horizontal="center"/>
      <protection locked="0"/>
    </xf>
    <xf numFmtId="164" fontId="2" fillId="0" borderId="22" xfId="2" applyNumberFormat="1" applyBorder="1" applyAlignment="1">
      <alignment horizontal="center"/>
    </xf>
    <xf numFmtId="164" fontId="2" fillId="0" borderId="18" xfId="2" applyNumberFormat="1" applyBorder="1" applyAlignment="1">
      <alignment horizontal="center"/>
    </xf>
    <xf numFmtId="1" fontId="41" fillId="13" borderId="28" xfId="0" applyNumberFormat="1" applyFont="1" applyFill="1" applyBorder="1" applyAlignment="1">
      <alignment horizontal="center" vertical="center"/>
    </xf>
    <xf numFmtId="1" fontId="41" fillId="17" borderId="76" xfId="0" applyNumberFormat="1" applyFont="1" applyFill="1" applyBorder="1" applyAlignment="1">
      <alignment horizontal="center" vertical="center"/>
    </xf>
    <xf numFmtId="1" fontId="41" fillId="15" borderId="76" xfId="0" applyNumberFormat="1" applyFont="1" applyFill="1" applyBorder="1" applyAlignment="1">
      <alignment horizontal="center" vertical="center"/>
    </xf>
    <xf numFmtId="0" fontId="16" fillId="14" borderId="29" xfId="0" applyFont="1" applyFill="1" applyBorder="1" applyAlignment="1">
      <alignment vertical="center"/>
    </xf>
    <xf numFmtId="9" fontId="23" fillId="0" borderId="1" xfId="1" applyFont="1" applyBorder="1" applyAlignment="1" applyProtection="1">
      <alignment horizontal="center" vertical="center" wrapText="1"/>
    </xf>
    <xf numFmtId="0" fontId="34" fillId="0" borderId="1" xfId="2" applyFont="1" applyBorder="1" applyAlignment="1">
      <alignment horizontal="center" vertical="center" wrapText="1"/>
    </xf>
    <xf numFmtId="0" fontId="30" fillId="0" borderId="39" xfId="2" applyFont="1" applyBorder="1" applyAlignment="1" applyProtection="1">
      <alignment horizontal="center" vertical="center"/>
      <protection locked="0"/>
    </xf>
    <xf numFmtId="0" fontId="15" fillId="0" borderId="1" xfId="2" applyFont="1" applyBorder="1" applyAlignment="1">
      <alignment horizontal="center" vertical="center"/>
    </xf>
    <xf numFmtId="0" fontId="31" fillId="0" borderId="1" xfId="2" applyFont="1" applyBorder="1" applyAlignment="1">
      <alignment horizontal="center" vertical="center" wrapText="1"/>
    </xf>
    <xf numFmtId="0" fontId="31" fillId="0" borderId="0" xfId="2" applyFont="1" applyBorder="1" applyAlignment="1">
      <alignment horizontal="center" vertical="center" wrapText="1"/>
    </xf>
    <xf numFmtId="0" fontId="30" fillId="0" borderId="0" xfId="2" applyFont="1" applyBorder="1" applyAlignment="1" applyProtection="1">
      <alignment horizontal="center" vertical="center"/>
      <protection locked="0"/>
    </xf>
    <xf numFmtId="0" fontId="30" fillId="0" borderId="1" xfId="2" applyFont="1" applyBorder="1" applyAlignment="1" applyProtection="1">
      <alignment horizontal="center" vertical="center"/>
      <protection locked="0"/>
    </xf>
    <xf numFmtId="0" fontId="2" fillId="3" borderId="5" xfId="2" applyFill="1" applyBorder="1" applyAlignment="1">
      <alignment horizontal="center"/>
    </xf>
    <xf numFmtId="167" fontId="36" fillId="7" borderId="1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/>
    </xf>
    <xf numFmtId="169" fontId="23" fillId="0" borderId="0" xfId="2" applyNumberFormat="1" applyFont="1" applyBorder="1" applyAlignment="1" applyProtection="1">
      <alignment horizontal="center" vertical="center"/>
    </xf>
    <xf numFmtId="3" fontId="23" fillId="0" borderId="0" xfId="2" applyNumberFormat="1" applyFont="1" applyBorder="1" applyAlignment="1" applyProtection="1">
      <alignment horizontal="center" vertical="center"/>
    </xf>
    <xf numFmtId="164" fontId="23" fillId="0" borderId="0" xfId="2" applyNumberFormat="1" applyFont="1" applyBorder="1" applyAlignment="1" applyProtection="1">
      <alignment horizontal="center" vertical="center"/>
    </xf>
    <xf numFmtId="0" fontId="2" fillId="0" borderId="0" xfId="2" applyBorder="1" applyAlignment="1">
      <alignment horizontal="center"/>
    </xf>
    <xf numFmtId="167" fontId="7" fillId="7" borderId="1" xfId="2" applyNumberFormat="1" applyFont="1" applyFill="1" applyBorder="1" applyAlignment="1" applyProtection="1">
      <alignment horizontal="center" vertical="center"/>
    </xf>
    <xf numFmtId="0" fontId="0" fillId="10" borderId="62" xfId="0" applyFill="1" applyBorder="1" applyAlignment="1">
      <alignment horizontal="center" vertical="center" wrapText="1"/>
    </xf>
    <xf numFmtId="1" fontId="3" fillId="13" borderId="63" xfId="0" applyNumberFormat="1" applyFont="1" applyFill="1" applyBorder="1" applyAlignment="1">
      <alignment horizontal="center"/>
    </xf>
    <xf numFmtId="0" fontId="37" fillId="12" borderId="63" xfId="0" applyFont="1" applyFill="1" applyBorder="1" applyAlignment="1">
      <alignment vertical="center"/>
    </xf>
    <xf numFmtId="170" fontId="37" fillId="12" borderId="63" xfId="0" applyNumberFormat="1" applyFont="1" applyFill="1" applyBorder="1" applyAlignment="1">
      <alignment vertical="center"/>
    </xf>
    <xf numFmtId="165" fontId="3" fillId="0" borderId="23" xfId="0" applyNumberFormat="1" applyFont="1" applyFill="1" applyBorder="1" applyAlignment="1">
      <alignment horizontal="center" vertical="center"/>
    </xf>
    <xf numFmtId="1" fontId="16" fillId="17" borderId="23" xfId="0" applyNumberFormat="1" applyFont="1" applyFill="1" applyBorder="1" applyAlignment="1">
      <alignment horizontal="center"/>
    </xf>
    <xf numFmtId="165" fontId="3" fillId="0" borderId="19" xfId="0" applyNumberFormat="1" applyFont="1" applyFill="1" applyBorder="1"/>
    <xf numFmtId="165" fontId="3" fillId="0" borderId="32" xfId="0" applyNumberFormat="1" applyFont="1" applyFill="1" applyBorder="1"/>
    <xf numFmtId="1" fontId="3" fillId="13" borderId="21" xfId="0" applyNumberFormat="1" applyFont="1" applyFill="1" applyBorder="1" applyAlignment="1">
      <alignment horizontal="center"/>
    </xf>
    <xf numFmtId="165" fontId="3" fillId="0" borderId="22" xfId="0" applyNumberFormat="1" applyFont="1" applyFill="1" applyBorder="1"/>
    <xf numFmtId="165" fontId="3" fillId="16" borderId="55" xfId="0" applyNumberFormat="1" applyFont="1" applyFill="1" applyBorder="1" applyAlignment="1">
      <alignment horizontal="center" vertical="center"/>
    </xf>
    <xf numFmtId="165" fontId="3" fillId="16" borderId="56" xfId="0" applyNumberFormat="1" applyFont="1" applyFill="1" applyBorder="1" applyAlignment="1">
      <alignment horizontal="center" vertical="center"/>
    </xf>
    <xf numFmtId="165" fontId="3" fillId="16" borderId="55" xfId="0" applyNumberFormat="1" applyFont="1" applyFill="1" applyBorder="1"/>
    <xf numFmtId="165" fontId="3" fillId="16" borderId="62" xfId="0" applyNumberFormat="1" applyFont="1" applyFill="1" applyBorder="1"/>
    <xf numFmtId="0" fontId="16" fillId="16" borderId="62" xfId="0" applyFont="1" applyFill="1" applyBorder="1"/>
    <xf numFmtId="0" fontId="16" fillId="16" borderId="56" xfId="0" applyFont="1" applyFill="1" applyBorder="1"/>
    <xf numFmtId="165" fontId="3" fillId="0" borderId="6" xfId="0" applyNumberFormat="1" applyFont="1" applyFill="1" applyBorder="1"/>
    <xf numFmtId="165" fontId="3" fillId="0" borderId="7" xfId="0" applyNumberFormat="1" applyFont="1" applyFill="1" applyBorder="1"/>
    <xf numFmtId="165" fontId="3" fillId="0" borderId="8" xfId="0" applyNumberFormat="1" applyFont="1" applyFill="1" applyBorder="1"/>
    <xf numFmtId="165" fontId="3" fillId="16" borderId="42" xfId="0" applyNumberFormat="1" applyFont="1" applyFill="1" applyBorder="1" applyAlignment="1">
      <alignment horizontal="center" vertical="center"/>
    </xf>
    <xf numFmtId="165" fontId="3" fillId="16" borderId="44" xfId="0" applyNumberFormat="1" applyFont="1" applyFill="1" applyBorder="1" applyAlignment="1">
      <alignment horizontal="center" vertical="center"/>
    </xf>
    <xf numFmtId="0" fontId="0" fillId="0" borderId="60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1" fontId="3" fillId="13" borderId="42" xfId="0" applyNumberFormat="1" applyFont="1" applyFill="1" applyBorder="1" applyAlignment="1">
      <alignment horizontal="center"/>
    </xf>
    <xf numFmtId="1" fontId="3" fillId="14" borderId="63" xfId="0" applyNumberFormat="1" applyFont="1" applyFill="1" applyBorder="1" applyAlignment="1">
      <alignment horizontal="center"/>
    </xf>
    <xf numFmtId="1" fontId="16" fillId="15" borderId="63" xfId="0" applyNumberFormat="1" applyFont="1" applyFill="1" applyBorder="1" applyAlignment="1">
      <alignment horizontal="center"/>
    </xf>
    <xf numFmtId="1" fontId="16" fillId="14" borderId="44" xfId="0" applyNumberFormat="1" applyFont="1" applyFill="1" applyBorder="1" applyAlignment="1">
      <alignment horizontal="center"/>
    </xf>
    <xf numFmtId="1" fontId="40" fillId="14" borderId="23" xfId="0" applyNumberFormat="1" applyFont="1" applyFill="1" applyBorder="1" applyAlignment="1">
      <alignment horizontal="center"/>
    </xf>
    <xf numFmtId="1" fontId="16" fillId="14" borderId="18" xfId="0" applyNumberFormat="1" applyFont="1" applyFill="1" applyBorder="1" applyAlignment="1">
      <alignment horizontal="center"/>
    </xf>
    <xf numFmtId="1" fontId="16" fillId="14" borderId="63" xfId="0" applyNumberFormat="1" applyFont="1" applyFill="1" applyBorder="1" applyAlignment="1">
      <alignment horizontal="center"/>
    </xf>
    <xf numFmtId="165" fontId="3" fillId="0" borderId="44" xfId="0" applyNumberFormat="1" applyFont="1" applyFill="1" applyBorder="1"/>
    <xf numFmtId="1" fontId="16" fillId="14" borderId="21" xfId="0" applyNumberFormat="1" applyFont="1" applyFill="1" applyBorder="1" applyAlignment="1">
      <alignment horizontal="center"/>
    </xf>
    <xf numFmtId="165" fontId="3" fillId="0" borderId="16" xfId="0" applyNumberFormat="1" applyFont="1" applyFill="1" applyBorder="1" applyAlignment="1">
      <alignment horizontal="center" vertical="center"/>
    </xf>
    <xf numFmtId="165" fontId="3" fillId="0" borderId="74" xfId="0" applyNumberFormat="1" applyFont="1" applyFill="1" applyBorder="1" applyAlignment="1">
      <alignment horizontal="center" vertical="center"/>
    </xf>
    <xf numFmtId="165" fontId="41" fillId="0" borderId="5" xfId="0" applyNumberFormat="1" applyFont="1" applyFill="1" applyBorder="1" applyAlignment="1">
      <alignment vertical="center"/>
    </xf>
    <xf numFmtId="0" fontId="0" fillId="12" borderId="23" xfId="0" applyFill="1" applyBorder="1" applyAlignment="1">
      <alignment horizontal="center" vertical="center"/>
    </xf>
    <xf numFmtId="165" fontId="0" fillId="0" borderId="23" xfId="0" applyNumberFormat="1" applyFill="1" applyBorder="1" applyAlignment="1">
      <alignment horizontal="center" vertical="center"/>
    </xf>
    <xf numFmtId="0" fontId="0" fillId="0" borderId="23" xfId="0" applyFill="1" applyBorder="1" applyAlignment="1">
      <alignment vertical="center" wrapText="1"/>
    </xf>
    <xf numFmtId="0" fontId="0" fillId="0" borderId="23" xfId="0" applyFill="1" applyBorder="1" applyAlignment="1">
      <alignment horizontal="center" vertical="center" wrapText="1"/>
    </xf>
    <xf numFmtId="165" fontId="0" fillId="0" borderId="23" xfId="0" applyNumberForma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left" vertical="center"/>
    </xf>
    <xf numFmtId="170" fontId="37" fillId="12" borderId="23" xfId="0" applyNumberFormat="1" applyFont="1" applyFill="1" applyBorder="1" applyAlignment="1">
      <alignment horizontal="left" vertical="center" wrapText="1"/>
    </xf>
    <xf numFmtId="0" fontId="0" fillId="11" borderId="23" xfId="0" applyFill="1" applyBorder="1" applyAlignment="1">
      <alignment horizontal="left" vertical="center"/>
    </xf>
    <xf numFmtId="0" fontId="0" fillId="11" borderId="21" xfId="0" applyFill="1" applyBorder="1" applyAlignment="1">
      <alignment horizontal="left" vertical="center"/>
    </xf>
    <xf numFmtId="170" fontId="0" fillId="11" borderId="21" xfId="0" applyNumberFormat="1" applyFill="1" applyBorder="1" applyAlignment="1">
      <alignment horizontal="center" vertical="center"/>
    </xf>
    <xf numFmtId="0" fontId="0" fillId="11" borderId="63" xfId="0" applyFill="1" applyBorder="1" applyAlignment="1">
      <alignment horizontal="left" vertical="center"/>
    </xf>
    <xf numFmtId="165" fontId="0" fillId="11" borderId="63" xfId="0" applyNumberFormat="1" applyFill="1" applyBorder="1" applyAlignment="1">
      <alignment horizontal="center" vertical="center"/>
    </xf>
    <xf numFmtId="170" fontId="0" fillId="11" borderId="63" xfId="0" applyNumberFormat="1" applyFill="1" applyBorder="1" applyAlignment="1">
      <alignment horizontal="left" vertical="center"/>
    </xf>
    <xf numFmtId="0" fontId="37" fillId="12" borderId="23" xfId="0" applyFont="1" applyFill="1" applyBorder="1" applyAlignment="1">
      <alignment horizontal="left" vertical="center"/>
    </xf>
    <xf numFmtId="0" fontId="0" fillId="11" borderId="20" xfId="0" applyFill="1" applyBorder="1" applyAlignment="1">
      <alignment horizontal="center" vertical="center" textRotation="90" wrapText="1"/>
    </xf>
    <xf numFmtId="0" fontId="0" fillId="0" borderId="18" xfId="0" applyFill="1" applyBorder="1" applyAlignment="1" applyProtection="1">
      <alignment horizontal="center" wrapText="1"/>
      <protection locked="0"/>
    </xf>
    <xf numFmtId="0" fontId="0" fillId="0" borderId="23" xfId="0" applyFill="1" applyBorder="1" applyAlignment="1" applyProtection="1">
      <alignment horizontal="center" vertical="center"/>
      <protection locked="0"/>
    </xf>
    <xf numFmtId="0" fontId="0" fillId="0" borderId="23" xfId="0" applyFill="1" applyBorder="1" applyAlignment="1" applyProtection="1">
      <alignment horizontal="center"/>
      <protection locked="0"/>
    </xf>
    <xf numFmtId="0" fontId="37" fillId="0" borderId="23" xfId="0" applyFont="1" applyFill="1" applyBorder="1" applyAlignment="1">
      <alignment vertical="center"/>
    </xf>
    <xf numFmtId="0" fontId="37" fillId="0" borderId="23" xfId="0" applyFont="1" applyFill="1" applyBorder="1" applyAlignment="1">
      <alignment horizontal="center" vertical="center"/>
    </xf>
    <xf numFmtId="0" fontId="0" fillId="0" borderId="21" xfId="0" applyFill="1" applyBorder="1" applyAlignment="1">
      <alignment horizontal="center"/>
    </xf>
    <xf numFmtId="0" fontId="16" fillId="0" borderId="63" xfId="0" applyFont="1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170" fontId="0" fillId="0" borderId="23" xfId="0" applyNumberFormat="1" applyFill="1" applyBorder="1" applyAlignment="1">
      <alignment vertical="center"/>
    </xf>
    <xf numFmtId="165" fontId="37" fillId="0" borderId="23" xfId="0" applyNumberFormat="1" applyFont="1" applyFill="1" applyBorder="1" applyAlignment="1">
      <alignment horizontal="center" vertical="center"/>
    </xf>
    <xf numFmtId="170" fontId="37" fillId="0" borderId="23" xfId="0" applyNumberFormat="1" applyFont="1" applyFill="1" applyBorder="1" applyAlignment="1">
      <alignment vertical="center"/>
    </xf>
    <xf numFmtId="170" fontId="0" fillId="0" borderId="23" xfId="0" applyNumberFormat="1" applyFill="1" applyBorder="1" applyAlignment="1">
      <alignment horizontal="center" vertical="center"/>
    </xf>
    <xf numFmtId="170" fontId="0" fillId="0" borderId="23" xfId="0" applyNumberFormat="1" applyFont="1" applyFill="1" applyBorder="1" applyAlignment="1">
      <alignment horizontal="left" vertical="center"/>
    </xf>
    <xf numFmtId="0" fontId="0" fillId="0" borderId="23" xfId="0" applyFont="1" applyFill="1" applyBorder="1" applyAlignment="1">
      <alignment horizontal="center" vertical="center"/>
    </xf>
    <xf numFmtId="0" fontId="39" fillId="0" borderId="18" xfId="0" applyFont="1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69" xfId="0" applyFill="1" applyBorder="1" applyAlignment="1">
      <alignment horizontal="center" vertical="center" wrapText="1"/>
    </xf>
    <xf numFmtId="0" fontId="0" fillId="0" borderId="69" xfId="0" applyFill="1" applyBorder="1" applyAlignment="1">
      <alignment horizontal="left" vertical="center" wrapText="1"/>
    </xf>
    <xf numFmtId="165" fontId="0" fillId="0" borderId="69" xfId="0" applyNumberFormat="1" applyFill="1" applyBorder="1" applyAlignment="1">
      <alignment horizontal="center" vertical="center" wrapText="1"/>
    </xf>
    <xf numFmtId="0" fontId="0" fillId="0" borderId="69" xfId="0" applyFill="1" applyBorder="1" applyAlignment="1">
      <alignment vertical="center"/>
    </xf>
    <xf numFmtId="0" fontId="0" fillId="12" borderId="63" xfId="0" applyFill="1" applyBorder="1" applyAlignment="1">
      <alignment horizontal="center" vertical="center"/>
    </xf>
    <xf numFmtId="0" fontId="37" fillId="12" borderId="23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vertical="center"/>
    </xf>
    <xf numFmtId="0" fontId="0" fillId="0" borderId="18" xfId="0" applyFont="1" applyFill="1" applyBorder="1" applyAlignment="1">
      <alignment horizontal="center" vertical="center"/>
    </xf>
    <xf numFmtId="165" fontId="0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8" xfId="0" applyFont="1" applyFill="1" applyBorder="1" applyAlignment="1" applyProtection="1">
      <alignment vertical="center"/>
      <protection locked="0"/>
    </xf>
    <xf numFmtId="0" fontId="0" fillId="0" borderId="18" xfId="0" applyFont="1" applyFill="1" applyBorder="1" applyAlignment="1" applyProtection="1">
      <alignment horizontal="center" vertical="center" wrapText="1"/>
      <protection locked="0"/>
    </xf>
    <xf numFmtId="0" fontId="0" fillId="0" borderId="23" xfId="0" applyFont="1" applyFill="1" applyBorder="1" applyAlignment="1">
      <alignment vertical="center"/>
    </xf>
    <xf numFmtId="165" fontId="0" fillId="0" borderId="23" xfId="0" applyNumberFormat="1" applyFont="1" applyFill="1" applyBorder="1" applyAlignment="1" applyProtection="1">
      <alignment horizontal="center" vertical="center"/>
      <protection locked="0"/>
    </xf>
    <xf numFmtId="0" fontId="0" fillId="0" borderId="23" xfId="0" applyFont="1" applyFill="1" applyBorder="1" applyAlignment="1" applyProtection="1">
      <alignment horizontal="center" vertical="center"/>
      <protection locked="0"/>
    </xf>
    <xf numFmtId="0" fontId="0" fillId="0" borderId="23" xfId="0" applyFont="1" applyFill="1" applyBorder="1" applyAlignment="1" applyProtection="1">
      <alignment vertical="center"/>
      <protection locked="0"/>
    </xf>
    <xf numFmtId="0" fontId="0" fillId="0" borderId="21" xfId="0" applyFont="1" applyFill="1" applyBorder="1" applyAlignment="1">
      <alignment vertical="center"/>
    </xf>
    <xf numFmtId="0" fontId="0" fillId="0" borderId="21" xfId="0" applyFont="1" applyFill="1" applyBorder="1" applyAlignment="1">
      <alignment horizontal="center" vertical="center"/>
    </xf>
    <xf numFmtId="165" fontId="0" fillId="0" borderId="21" xfId="0" applyNumberFormat="1" applyFont="1" applyFill="1" applyBorder="1" applyAlignment="1">
      <alignment horizontal="center" vertical="center"/>
    </xf>
    <xf numFmtId="0" fontId="3" fillId="0" borderId="63" xfId="0" applyFont="1" applyFill="1" applyBorder="1" applyAlignment="1">
      <alignment vertical="center"/>
    </xf>
    <xf numFmtId="0" fontId="3" fillId="0" borderId="63" xfId="0" applyFont="1" applyFill="1" applyBorder="1" applyAlignment="1">
      <alignment horizontal="center" vertical="center"/>
    </xf>
    <xf numFmtId="165" fontId="0" fillId="0" borderId="63" xfId="0" applyNumberFormat="1" applyFont="1" applyFill="1" applyBorder="1" applyAlignment="1">
      <alignment horizontal="center" vertical="center"/>
    </xf>
    <xf numFmtId="170" fontId="0" fillId="0" borderId="63" xfId="0" applyNumberFormat="1" applyFont="1" applyFill="1" applyBorder="1" applyAlignment="1">
      <alignment vertical="center"/>
    </xf>
    <xf numFmtId="0" fontId="0" fillId="0" borderId="63" xfId="0" applyFont="1" applyFill="1" applyBorder="1" applyAlignment="1">
      <alignment horizontal="center" vertical="center"/>
    </xf>
    <xf numFmtId="165" fontId="0" fillId="0" borderId="23" xfId="0" applyNumberFormat="1" applyFont="1" applyFill="1" applyBorder="1" applyAlignment="1">
      <alignment horizontal="center" vertical="center"/>
    </xf>
    <xf numFmtId="170" fontId="0" fillId="0" borderId="23" xfId="0" applyNumberFormat="1" applyFont="1" applyFill="1" applyBorder="1" applyAlignment="1">
      <alignment vertical="center"/>
    </xf>
    <xf numFmtId="170" fontId="0" fillId="0" borderId="23" xfId="0" applyNumberFormat="1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left" vertical="center"/>
    </xf>
    <xf numFmtId="170" fontId="0" fillId="0" borderId="23" xfId="0" applyNumberFormat="1" applyFont="1" applyFill="1" applyBorder="1" applyAlignment="1">
      <alignment horizontal="center" vertical="center" wrapText="1"/>
    </xf>
    <xf numFmtId="170" fontId="0" fillId="0" borderId="21" xfId="0" applyNumberFormat="1" applyFont="1" applyFill="1" applyBorder="1" applyAlignment="1">
      <alignment vertical="center"/>
    </xf>
    <xf numFmtId="0" fontId="0" fillId="0" borderId="63" xfId="0" applyFont="1" applyFill="1" applyBorder="1" applyAlignment="1">
      <alignment vertical="center"/>
    </xf>
    <xf numFmtId="0" fontId="0" fillId="0" borderId="23" xfId="0" applyFont="1" applyFill="1" applyBorder="1" applyAlignment="1">
      <alignment horizontal="left" vertical="center" wrapText="1"/>
    </xf>
    <xf numFmtId="170" fontId="0" fillId="0" borderId="23" xfId="0" applyNumberFormat="1" applyFont="1" applyFill="1" applyBorder="1" applyAlignment="1">
      <alignment vertical="center" wrapText="1"/>
    </xf>
    <xf numFmtId="0" fontId="0" fillId="0" borderId="18" xfId="0" applyFont="1" applyFill="1" applyBorder="1" applyAlignment="1">
      <alignment horizontal="left" vertical="center"/>
    </xf>
    <xf numFmtId="165" fontId="0" fillId="0" borderId="18" xfId="0" applyNumberFormat="1" applyFont="1" applyFill="1" applyBorder="1" applyAlignment="1">
      <alignment horizontal="center" vertical="center"/>
    </xf>
    <xf numFmtId="170" fontId="0" fillId="0" borderId="18" xfId="0" applyNumberFormat="1" applyFont="1" applyFill="1" applyBorder="1" applyAlignment="1">
      <alignment horizontal="center" vertical="center"/>
    </xf>
    <xf numFmtId="170" fontId="0" fillId="0" borderId="21" xfId="0" applyNumberFormat="1" applyFont="1" applyFill="1" applyBorder="1" applyAlignment="1">
      <alignment horizontal="left" vertical="center" wrapText="1"/>
    </xf>
    <xf numFmtId="0" fontId="0" fillId="0" borderId="42" xfId="0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165" fontId="0" fillId="0" borderId="23" xfId="0" applyNumberFormat="1" applyFont="1" applyFill="1" applyBorder="1" applyAlignment="1">
      <alignment horizontal="center"/>
    </xf>
    <xf numFmtId="0" fontId="0" fillId="0" borderId="23" xfId="0" applyFont="1" applyFill="1" applyBorder="1" applyAlignment="1"/>
    <xf numFmtId="0" fontId="0" fillId="0" borderId="23" xfId="0" applyFont="1" applyFill="1" applyBorder="1"/>
    <xf numFmtId="0" fontId="0" fillId="0" borderId="23" xfId="0" applyFont="1" applyFill="1" applyBorder="1" applyAlignment="1">
      <alignment horizontal="center"/>
    </xf>
    <xf numFmtId="0" fontId="37" fillId="12" borderId="27" xfId="0" applyFont="1" applyFill="1" applyBorder="1" applyAlignment="1">
      <alignment horizontal="center" vertical="center"/>
    </xf>
    <xf numFmtId="0" fontId="37" fillId="12" borderId="23" xfId="0" applyFont="1" applyFill="1" applyBorder="1" applyAlignment="1">
      <alignment vertical="center" wrapText="1"/>
    </xf>
    <xf numFmtId="165" fontId="37" fillId="12" borderId="23" xfId="0" applyNumberFormat="1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/>
    </xf>
    <xf numFmtId="0" fontId="0" fillId="0" borderId="63" xfId="0" applyFont="1" applyFill="1" applyBorder="1" applyAlignment="1">
      <alignment horizontal="left" vertical="center"/>
    </xf>
    <xf numFmtId="0" fontId="0" fillId="0" borderId="23" xfId="0" applyFont="1" applyFill="1" applyBorder="1" applyAlignment="1">
      <alignment horizontal="center" vertical="center" wrapText="1"/>
    </xf>
    <xf numFmtId="0" fontId="0" fillId="12" borderId="63" xfId="0" applyFont="1" applyFill="1" applyBorder="1" applyAlignment="1">
      <alignment horizontal="center" vertical="center"/>
    </xf>
    <xf numFmtId="0" fontId="0" fillId="0" borderId="63" xfId="0" applyFont="1" applyFill="1" applyBorder="1"/>
    <xf numFmtId="0" fontId="0" fillId="12" borderId="23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vertical="center" wrapText="1"/>
    </xf>
    <xf numFmtId="0" fontId="0" fillId="12" borderId="23" xfId="0" applyFont="1" applyFill="1" applyBorder="1" applyAlignment="1">
      <alignment horizontal="center" vertical="center" wrapText="1"/>
    </xf>
    <xf numFmtId="0" fontId="0" fillId="11" borderId="23" xfId="0" applyFont="1" applyFill="1" applyBorder="1" applyAlignment="1">
      <alignment horizontal="center"/>
    </xf>
    <xf numFmtId="0" fontId="0" fillId="0" borderId="69" xfId="0" applyFont="1" applyFill="1" applyBorder="1" applyAlignment="1">
      <alignment horizontal="center" vertical="center" wrapText="1"/>
    </xf>
    <xf numFmtId="0" fontId="38" fillId="0" borderId="69" xfId="0" applyFont="1" applyFill="1" applyBorder="1" applyAlignment="1">
      <alignment horizontal="center" vertical="center" wrapText="1"/>
    </xf>
    <xf numFmtId="1" fontId="41" fillId="13" borderId="23" xfId="0" applyNumberFormat="1" applyFont="1" applyFill="1" applyBorder="1" applyAlignment="1">
      <alignment horizontal="center"/>
    </xf>
    <xf numFmtId="0" fontId="2" fillId="0" borderId="2" xfId="2" applyBorder="1" applyAlignment="1">
      <alignment horizontal="center" vertical="center" wrapText="1"/>
    </xf>
    <xf numFmtId="0" fontId="2" fillId="0" borderId="16" xfId="2" applyBorder="1" applyAlignment="1">
      <alignment horizontal="center"/>
    </xf>
    <xf numFmtId="0" fontId="2" fillId="0" borderId="5" xfId="2" applyBorder="1" applyAlignment="1">
      <alignment horizontal="center"/>
    </xf>
    <xf numFmtId="0" fontId="2" fillId="0" borderId="10" xfId="2" applyBorder="1" applyAlignment="1">
      <alignment horizontal="center" vertical="center"/>
    </xf>
    <xf numFmtId="0" fontId="2" fillId="0" borderId="5" xfId="2" applyBorder="1" applyAlignment="1">
      <alignment horizontal="center" vertical="center"/>
    </xf>
    <xf numFmtId="0" fontId="2" fillId="0" borderId="37" xfId="2" applyBorder="1" applyAlignment="1">
      <alignment horizontal="center" vertical="center"/>
    </xf>
    <xf numFmtId="0" fontId="2" fillId="0" borderId="39" xfId="2" applyBorder="1" applyAlignment="1">
      <alignment horizontal="center" vertical="center"/>
    </xf>
    <xf numFmtId="0" fontId="31" fillId="0" borderId="16" xfId="2" applyFont="1" applyBorder="1" applyAlignment="1">
      <alignment horizontal="center"/>
    </xf>
    <xf numFmtId="0" fontId="31" fillId="0" borderId="5" xfId="2" applyFont="1" applyBorder="1" applyAlignment="1">
      <alignment horizontal="center"/>
    </xf>
    <xf numFmtId="0" fontId="21" fillId="3" borderId="16" xfId="2" applyFont="1" applyFill="1" applyBorder="1" applyAlignment="1">
      <alignment horizontal="center" vertical="center"/>
    </xf>
    <xf numFmtId="0" fontId="21" fillId="3" borderId="5" xfId="2" applyFont="1" applyFill="1" applyBorder="1" applyAlignment="1">
      <alignment horizontal="center" vertical="center"/>
    </xf>
    <xf numFmtId="0" fontId="2" fillId="0" borderId="16" xfId="2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2" xfId="2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11" borderId="11" xfId="0" applyFill="1" applyBorder="1" applyAlignment="1">
      <alignment horizontal="center" vertical="center" textRotation="90" wrapText="1"/>
    </xf>
    <xf numFmtId="0" fontId="0" fillId="11" borderId="15" xfId="0" applyFill="1" applyBorder="1" applyAlignment="1">
      <alignment horizontal="center" vertical="center" textRotation="90" wrapText="1"/>
    </xf>
    <xf numFmtId="0" fontId="0" fillId="0" borderId="63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38" fillId="0" borderId="63" xfId="0" applyFont="1" applyFill="1" applyBorder="1" applyAlignment="1">
      <alignment horizontal="center" vertical="center" wrapText="1"/>
    </xf>
    <xf numFmtId="0" fontId="38" fillId="0" borderId="23" xfId="0" applyFont="1" applyFill="1" applyBorder="1" applyAlignment="1">
      <alignment horizontal="center" vertical="center" wrapText="1"/>
    </xf>
    <xf numFmtId="0" fontId="38" fillId="0" borderId="21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/>
    </xf>
    <xf numFmtId="0" fontId="0" fillId="0" borderId="23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170" fontId="0" fillId="0" borderId="23" xfId="0" applyNumberFormat="1" applyFill="1" applyBorder="1" applyAlignment="1">
      <alignment horizontal="left" vertical="center" wrapText="1"/>
    </xf>
    <xf numFmtId="0" fontId="0" fillId="11" borderId="42" xfId="0" applyFill="1" applyBorder="1" applyAlignment="1">
      <alignment horizontal="center" vertical="center" textRotation="90" wrapText="1"/>
    </xf>
    <xf numFmtId="0" fontId="0" fillId="11" borderId="27" xfId="0" applyFill="1" applyBorder="1" applyAlignment="1">
      <alignment horizontal="center" vertical="center" textRotation="90" wrapText="1"/>
    </xf>
    <xf numFmtId="0" fontId="0" fillId="11" borderId="20" xfId="0" applyFill="1" applyBorder="1" applyAlignment="1">
      <alignment horizontal="center" vertical="center" textRotation="90" wrapText="1"/>
    </xf>
    <xf numFmtId="0" fontId="0" fillId="0" borderId="63" xfId="0" applyFont="1" applyFill="1" applyBorder="1" applyAlignment="1">
      <alignment horizontal="center" vertical="center" wrapText="1"/>
    </xf>
    <xf numFmtId="0" fontId="0" fillId="11" borderId="17" xfId="0" applyFill="1" applyBorder="1" applyAlignment="1">
      <alignment horizontal="center" vertical="center" textRotation="90"/>
    </xf>
    <xf numFmtId="0" fontId="0" fillId="11" borderId="27" xfId="0" applyFill="1" applyBorder="1" applyAlignment="1">
      <alignment horizontal="center" vertical="center" textRotation="90"/>
    </xf>
    <xf numFmtId="0" fontId="0" fillId="11" borderId="20" xfId="0" applyFill="1" applyBorder="1" applyAlignment="1">
      <alignment horizontal="center" vertical="center" textRotation="90"/>
    </xf>
    <xf numFmtId="0" fontId="0" fillId="11" borderId="18" xfId="0" applyFont="1" applyFill="1" applyBorder="1" applyAlignment="1">
      <alignment horizontal="center" vertical="center" wrapText="1"/>
    </xf>
    <xf numFmtId="0" fontId="0" fillId="11" borderId="23" xfId="0" applyFont="1" applyFill="1" applyBorder="1" applyAlignment="1">
      <alignment horizontal="center" vertical="center" wrapText="1"/>
    </xf>
    <xf numFmtId="0" fontId="0" fillId="11" borderId="21" xfId="0" applyFont="1" applyFill="1" applyBorder="1" applyAlignment="1">
      <alignment horizontal="center" vertical="center" wrapText="1"/>
    </xf>
    <xf numFmtId="0" fontId="38" fillId="11" borderId="18" xfId="0" applyFont="1" applyFill="1" applyBorder="1" applyAlignment="1">
      <alignment horizontal="center" vertical="center" wrapText="1"/>
    </xf>
    <xf numFmtId="0" fontId="38" fillId="11" borderId="23" xfId="0" applyFont="1" applyFill="1" applyBorder="1" applyAlignment="1">
      <alignment horizontal="center" vertical="center" wrapText="1"/>
    </xf>
    <xf numFmtId="0" fontId="38" fillId="11" borderId="21" xfId="0" applyFont="1" applyFill="1" applyBorder="1" applyAlignment="1">
      <alignment horizontal="center" vertical="center" wrapText="1"/>
    </xf>
    <xf numFmtId="0" fontId="0" fillId="10" borderId="17" xfId="0" applyFill="1" applyBorder="1" applyAlignment="1">
      <alignment horizontal="center" vertical="center" textRotation="90" wrapText="1"/>
    </xf>
    <xf numFmtId="0" fontId="0" fillId="10" borderId="27" xfId="0" applyFill="1" applyBorder="1" applyAlignment="1">
      <alignment horizontal="center" vertical="center" textRotation="90" wrapText="1"/>
    </xf>
    <xf numFmtId="0" fontId="0" fillId="10" borderId="55" xfId="0" applyFill="1" applyBorder="1" applyAlignment="1">
      <alignment horizontal="center" vertical="center" textRotation="90" wrapText="1"/>
    </xf>
    <xf numFmtId="0" fontId="0" fillId="10" borderId="18" xfId="0" applyFill="1" applyBorder="1" applyAlignment="1">
      <alignment horizontal="center" vertical="center" textRotation="90" wrapText="1"/>
    </xf>
    <xf numFmtId="0" fontId="0" fillId="10" borderId="23" xfId="0" applyFill="1" applyBorder="1" applyAlignment="1">
      <alignment horizontal="center" vertical="center" textRotation="90" wrapText="1"/>
    </xf>
    <xf numFmtId="0" fontId="0" fillId="10" borderId="62" xfId="0" applyFill="1" applyBorder="1" applyAlignment="1">
      <alignment horizontal="center" vertical="center" textRotation="90" wrapText="1"/>
    </xf>
    <xf numFmtId="0" fontId="0" fillId="10" borderId="18" xfId="0" applyFill="1" applyBorder="1" applyAlignment="1">
      <alignment horizontal="center" vertical="center" wrapText="1"/>
    </xf>
    <xf numFmtId="0" fontId="0" fillId="10" borderId="23" xfId="0" applyFill="1" applyBorder="1" applyAlignment="1">
      <alignment horizontal="center" vertical="center" wrapText="1"/>
    </xf>
    <xf numFmtId="0" fontId="0" fillId="10" borderId="62" xfId="0" applyFill="1" applyBorder="1" applyAlignment="1">
      <alignment horizontal="center" vertical="center" wrapText="1"/>
    </xf>
    <xf numFmtId="0" fontId="38" fillId="10" borderId="62" xfId="0" applyFont="1" applyFill="1" applyBorder="1" applyAlignment="1">
      <alignment horizontal="center" vertical="center" wrapText="1"/>
    </xf>
    <xf numFmtId="0" fontId="38" fillId="10" borderId="26" xfId="0" applyFont="1" applyFill="1" applyBorder="1" applyAlignment="1">
      <alignment horizontal="center" vertical="center" wrapText="1"/>
    </xf>
    <xf numFmtId="0" fontId="0" fillId="10" borderId="38" xfId="0" applyFill="1" applyBorder="1" applyAlignment="1">
      <alignment horizontal="center" vertical="center" wrapText="1"/>
    </xf>
    <xf numFmtId="0" fontId="0" fillId="10" borderId="26" xfId="0" applyFill="1" applyBorder="1" applyAlignment="1">
      <alignment horizontal="center" vertical="center" wrapText="1"/>
    </xf>
    <xf numFmtId="0" fontId="0" fillId="10" borderId="40" xfId="0" applyFill="1" applyBorder="1" applyAlignment="1">
      <alignment horizontal="center" vertical="center" wrapText="1"/>
    </xf>
    <xf numFmtId="0" fontId="0" fillId="10" borderId="52" xfId="0" applyFill="1" applyBorder="1" applyAlignment="1">
      <alignment horizontal="center" vertical="center" wrapText="1"/>
    </xf>
    <xf numFmtId="0" fontId="0" fillId="10" borderId="34" xfId="0" applyFill="1" applyBorder="1" applyAlignment="1">
      <alignment horizontal="center" vertical="center" wrapText="1"/>
    </xf>
    <xf numFmtId="0" fontId="0" fillId="10" borderId="57" xfId="0" applyFill="1" applyBorder="1" applyAlignment="1">
      <alignment horizontal="center" vertical="center" wrapText="1"/>
    </xf>
    <xf numFmtId="0" fontId="0" fillId="10" borderId="60" xfId="0" applyFill="1" applyBorder="1" applyAlignment="1">
      <alignment horizontal="center" vertical="center" wrapText="1"/>
    </xf>
    <xf numFmtId="0" fontId="0" fillId="10" borderId="61" xfId="0" applyFill="1" applyBorder="1" applyAlignment="1">
      <alignment horizontal="center" vertical="center" wrapText="1"/>
    </xf>
    <xf numFmtId="0" fontId="0" fillId="10" borderId="64" xfId="0" applyFill="1" applyBorder="1" applyAlignment="1">
      <alignment horizontal="center" vertical="center" wrapText="1"/>
    </xf>
    <xf numFmtId="0" fontId="0" fillId="10" borderId="0" xfId="0" applyFill="1" applyBorder="1" applyAlignment="1">
      <alignment horizontal="center" vertical="center" wrapText="1"/>
    </xf>
    <xf numFmtId="0" fontId="0" fillId="10" borderId="65" xfId="0" applyFill="1" applyBorder="1" applyAlignment="1">
      <alignment horizontal="center" vertical="center" wrapText="1"/>
    </xf>
    <xf numFmtId="0" fontId="38" fillId="10" borderId="57" xfId="0" applyFont="1" applyFill="1" applyBorder="1" applyAlignment="1">
      <alignment horizontal="center" vertical="center" wrapText="1"/>
    </xf>
    <xf numFmtId="0" fontId="38" fillId="10" borderId="58" xfId="0" applyFont="1" applyFill="1" applyBorder="1" applyAlignment="1">
      <alignment horizontal="center" vertical="center" wrapText="1"/>
    </xf>
    <xf numFmtId="0" fontId="38" fillId="10" borderId="64" xfId="0" applyFont="1" applyFill="1" applyBorder="1" applyAlignment="1">
      <alignment horizontal="center" vertical="center" wrapText="1"/>
    </xf>
    <xf numFmtId="0" fontId="38" fillId="10" borderId="7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 applyProtection="1">
      <alignment horizontal="center" vertical="center" wrapText="1"/>
      <protection locked="0"/>
    </xf>
    <xf numFmtId="0" fontId="38" fillId="0" borderId="19" xfId="0" applyFont="1" applyFill="1" applyBorder="1" applyAlignment="1" applyProtection="1">
      <alignment horizontal="center" vertical="center" wrapText="1"/>
      <protection locked="0"/>
    </xf>
    <xf numFmtId="0" fontId="38" fillId="0" borderId="23" xfId="0" applyFont="1" applyFill="1" applyBorder="1" applyAlignment="1" applyProtection="1">
      <alignment horizontal="center" vertical="center" wrapText="1"/>
      <protection locked="0"/>
    </xf>
    <xf numFmtId="0" fontId="38" fillId="0" borderId="32" xfId="0" applyFont="1" applyFill="1" applyBorder="1" applyAlignment="1" applyProtection="1">
      <alignment horizontal="center" vertical="center" wrapText="1"/>
      <protection locked="0"/>
    </xf>
    <xf numFmtId="0" fontId="38" fillId="0" borderId="21" xfId="0" applyFont="1" applyFill="1" applyBorder="1" applyAlignment="1" applyProtection="1">
      <alignment horizontal="center" vertical="center" wrapText="1"/>
      <protection locked="0"/>
    </xf>
    <xf numFmtId="0" fontId="38" fillId="0" borderId="22" xfId="0" applyFont="1" applyFill="1" applyBorder="1" applyAlignment="1" applyProtection="1">
      <alignment horizontal="center" vertical="center" wrapText="1"/>
      <protection locked="0"/>
    </xf>
    <xf numFmtId="0" fontId="38" fillId="0" borderId="63" xfId="0" applyFont="1" applyFill="1" applyBorder="1" applyAlignment="1">
      <alignment horizontal="center" vertical="center"/>
    </xf>
    <xf numFmtId="0" fontId="38" fillId="0" borderId="23" xfId="0" applyFont="1" applyFill="1" applyBorder="1" applyAlignment="1">
      <alignment horizontal="center" vertical="center"/>
    </xf>
    <xf numFmtId="0" fontId="38" fillId="0" borderId="44" xfId="0" applyFont="1" applyFill="1" applyBorder="1" applyAlignment="1">
      <alignment horizontal="center" vertical="center"/>
    </xf>
    <xf numFmtId="0" fontId="38" fillId="0" borderId="32" xfId="0" applyFont="1" applyFill="1" applyBorder="1" applyAlignment="1">
      <alignment horizontal="center" vertical="center"/>
    </xf>
    <xf numFmtId="0" fontId="0" fillId="11" borderId="17" xfId="0" applyFill="1" applyBorder="1" applyAlignment="1" applyProtection="1">
      <alignment horizontal="center" vertical="center" textRotation="90" wrapText="1"/>
      <protection locked="0"/>
    </xf>
    <xf numFmtId="0" fontId="0" fillId="11" borderId="27" xfId="0" applyFill="1" applyBorder="1" applyAlignment="1" applyProtection="1">
      <alignment horizontal="center" vertical="center" textRotation="90" wrapText="1"/>
      <protection locked="0"/>
    </xf>
    <xf numFmtId="0" fontId="0" fillId="11" borderId="20" xfId="0" applyFill="1" applyBorder="1" applyAlignment="1" applyProtection="1">
      <alignment horizontal="center" vertical="center" textRotation="90" wrapText="1"/>
      <protection locked="0"/>
    </xf>
    <xf numFmtId="0" fontId="0" fillId="0" borderId="18" xfId="0" applyFont="1" applyFill="1" applyBorder="1" applyAlignment="1" applyProtection="1">
      <alignment horizontal="center" vertical="center" wrapText="1"/>
      <protection locked="0"/>
    </xf>
    <xf numFmtId="0" fontId="0" fillId="0" borderId="23" xfId="0" applyFont="1" applyFill="1" applyBorder="1" applyAlignment="1" applyProtection="1">
      <alignment horizontal="center" vertical="center" wrapText="1"/>
      <protection locked="0"/>
    </xf>
    <xf numFmtId="0" fontId="0" fillId="0" borderId="21" xfId="0" applyFont="1" applyFill="1" applyBorder="1" applyAlignment="1" applyProtection="1">
      <alignment horizontal="center" vertical="center" wrapText="1"/>
      <protection locked="0"/>
    </xf>
    <xf numFmtId="0" fontId="38" fillId="0" borderId="32" xfId="0" applyFont="1" applyFill="1" applyBorder="1" applyAlignment="1">
      <alignment horizontal="center" vertical="center" wrapText="1"/>
    </xf>
    <xf numFmtId="0" fontId="38" fillId="0" borderId="22" xfId="0" applyFont="1" applyFill="1" applyBorder="1" applyAlignment="1">
      <alignment horizontal="center" vertical="center" wrapText="1"/>
    </xf>
    <xf numFmtId="0" fontId="38" fillId="0" borderId="44" xfId="0" applyFont="1" applyFill="1" applyBorder="1" applyAlignment="1">
      <alignment horizontal="center" vertical="center" wrapText="1"/>
    </xf>
    <xf numFmtId="0" fontId="0" fillId="10" borderId="63" xfId="0" applyFill="1" applyBorder="1" applyAlignment="1">
      <alignment horizontal="center" vertical="center" textRotation="90" wrapText="1"/>
    </xf>
    <xf numFmtId="0" fontId="0" fillId="10" borderId="63" xfId="0" applyFill="1" applyBorder="1" applyAlignment="1">
      <alignment horizontal="center" vertical="center" wrapText="1"/>
    </xf>
    <xf numFmtId="0" fontId="0" fillId="10" borderId="43" xfId="0" applyFont="1" applyFill="1" applyBorder="1" applyAlignment="1">
      <alignment horizontal="center" vertical="center" wrapText="1"/>
    </xf>
    <xf numFmtId="0" fontId="0" fillId="10" borderId="70" xfId="0" applyFont="1" applyFill="1" applyBorder="1" applyAlignment="1">
      <alignment horizontal="center" vertical="center" wrapText="1"/>
    </xf>
    <xf numFmtId="0" fontId="0" fillId="10" borderId="71" xfId="0" applyFont="1" applyFill="1" applyBorder="1" applyAlignment="1">
      <alignment horizontal="center" vertical="center" wrapText="1"/>
    </xf>
    <xf numFmtId="0" fontId="0" fillId="10" borderId="23" xfId="0" applyFont="1" applyFill="1" applyBorder="1" applyAlignment="1">
      <alignment horizontal="center" vertical="center" wrapText="1"/>
    </xf>
    <xf numFmtId="0" fontId="0" fillId="10" borderId="62" xfId="0" applyFont="1" applyFill="1" applyBorder="1" applyAlignment="1">
      <alignment horizontal="center" vertical="center" wrapText="1"/>
    </xf>
    <xf numFmtId="0" fontId="0" fillId="10" borderId="57" xfId="0" applyFont="1" applyFill="1" applyBorder="1" applyAlignment="1">
      <alignment horizontal="center" vertical="center" wrapText="1"/>
    </xf>
    <xf numFmtId="0" fontId="0" fillId="10" borderId="60" xfId="0" applyFont="1" applyFill="1" applyBorder="1" applyAlignment="1">
      <alignment horizontal="center" vertical="center" wrapText="1"/>
    </xf>
    <xf numFmtId="0" fontId="0" fillId="10" borderId="61" xfId="0" applyFont="1" applyFill="1" applyBorder="1" applyAlignment="1">
      <alignment horizontal="center" vertical="center" wrapText="1"/>
    </xf>
    <xf numFmtId="0" fontId="0" fillId="10" borderId="64" xfId="0" applyFont="1" applyFill="1" applyBorder="1" applyAlignment="1">
      <alignment horizontal="center" vertical="center" wrapText="1"/>
    </xf>
    <xf numFmtId="0" fontId="0" fillId="10" borderId="0" xfId="0" applyFont="1" applyFill="1" applyBorder="1" applyAlignment="1">
      <alignment horizontal="center" vertical="center" wrapText="1"/>
    </xf>
    <xf numFmtId="0" fontId="0" fillId="10" borderId="65" xfId="0" applyFont="1" applyFill="1" applyBorder="1" applyAlignment="1">
      <alignment horizontal="center" vertical="center" wrapText="1"/>
    </xf>
    <xf numFmtId="0" fontId="38" fillId="10" borderId="72" xfId="0" applyFont="1" applyFill="1" applyBorder="1" applyAlignment="1">
      <alignment horizontal="center" vertical="center" wrapText="1"/>
    </xf>
    <xf numFmtId="0" fontId="38" fillId="10" borderId="66" xfId="0" applyFont="1" applyFill="1" applyBorder="1" applyAlignment="1">
      <alignment horizontal="center" vertical="center" wrapText="1"/>
    </xf>
    <xf numFmtId="0" fontId="0" fillId="11" borderId="42" xfId="0" applyFill="1" applyBorder="1" applyAlignment="1">
      <alignment horizontal="center" vertical="center" textRotation="90"/>
    </xf>
    <xf numFmtId="171" fontId="38" fillId="11" borderId="18" xfId="0" applyNumberFormat="1" applyFont="1" applyFill="1" applyBorder="1" applyAlignment="1">
      <alignment horizontal="center" vertical="center" wrapText="1"/>
    </xf>
    <xf numFmtId="171" fontId="38" fillId="11" borderId="19" xfId="0" applyNumberFormat="1" applyFont="1" applyFill="1" applyBorder="1" applyAlignment="1">
      <alignment horizontal="center" vertical="center" wrapText="1"/>
    </xf>
    <xf numFmtId="171" fontId="38" fillId="11" borderId="23" xfId="0" applyNumberFormat="1" applyFont="1" applyFill="1" applyBorder="1" applyAlignment="1">
      <alignment horizontal="center" vertical="center" wrapText="1"/>
    </xf>
    <xf numFmtId="171" fontId="38" fillId="11" borderId="32" xfId="0" applyNumberFormat="1" applyFont="1" applyFill="1" applyBorder="1" applyAlignment="1">
      <alignment horizontal="center" vertical="center" wrapText="1"/>
    </xf>
    <xf numFmtId="171" fontId="38" fillId="11" borderId="21" xfId="0" applyNumberFormat="1" applyFont="1" applyFill="1" applyBorder="1" applyAlignment="1">
      <alignment horizontal="center" vertical="center" wrapText="1"/>
    </xf>
    <xf numFmtId="171" fontId="38" fillId="11" borderId="22" xfId="0" applyNumberFormat="1" applyFont="1" applyFill="1" applyBorder="1" applyAlignment="1">
      <alignment horizontal="center" vertical="center" wrapText="1"/>
    </xf>
    <xf numFmtId="0" fontId="0" fillId="0" borderId="67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68" xfId="0" applyFont="1" applyFill="1" applyBorder="1" applyAlignment="1">
      <alignment horizontal="center" vertical="center" wrapText="1"/>
    </xf>
    <xf numFmtId="0" fontId="38" fillId="0" borderId="67" xfId="0" applyFont="1" applyFill="1" applyBorder="1" applyAlignment="1">
      <alignment horizontal="center" vertical="center"/>
    </xf>
    <xf numFmtId="0" fontId="38" fillId="0" borderId="73" xfId="0" applyFont="1" applyFill="1" applyBorder="1" applyAlignment="1">
      <alignment horizontal="center" vertical="center"/>
    </xf>
    <xf numFmtId="0" fontId="38" fillId="0" borderId="63" xfId="0" applyFont="1" applyBorder="1" applyAlignment="1">
      <alignment horizontal="center" vertical="center"/>
    </xf>
    <xf numFmtId="0" fontId="38" fillId="0" borderId="44" xfId="0" applyFont="1" applyBorder="1" applyAlignment="1">
      <alignment horizontal="center" vertical="center"/>
    </xf>
    <xf numFmtId="0" fontId="38" fillId="0" borderId="23" xfId="0" applyFont="1" applyBorder="1" applyAlignment="1">
      <alignment horizontal="center" vertical="center"/>
    </xf>
    <xf numFmtId="0" fontId="38" fillId="0" borderId="32" xfId="0" applyFont="1" applyBorder="1" applyAlignment="1">
      <alignment horizontal="center" vertical="center"/>
    </xf>
    <xf numFmtId="0" fontId="38" fillId="0" borderId="21" xfId="0" applyFont="1" applyBorder="1" applyAlignment="1">
      <alignment horizontal="center" vertical="center"/>
    </xf>
    <xf numFmtId="0" fontId="38" fillId="0" borderId="22" xfId="0" applyFont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0" fillId="0" borderId="32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 wrapText="1"/>
    </xf>
    <xf numFmtId="0" fontId="2" fillId="0" borderId="1" xfId="2" applyFill="1" applyBorder="1" applyAlignment="1">
      <alignment horizontal="center"/>
    </xf>
    <xf numFmtId="1" fontId="2" fillId="0" borderId="1" xfId="2" applyNumberFormat="1" applyFill="1" applyBorder="1" applyAlignment="1">
      <alignment horizontal="center"/>
    </xf>
    <xf numFmtId="0" fontId="42" fillId="0" borderId="8" xfId="0" applyFont="1" applyBorder="1" applyAlignment="1">
      <alignment horizontal="center" vertical="center"/>
    </xf>
  </cellXfs>
  <cellStyles count="4">
    <cellStyle name="Normal" xfId="0" builtinId="0"/>
    <cellStyle name="Normal 2" xfId="2"/>
    <cellStyle name="Porcentaje" xfId="1" builtinId="5"/>
    <cellStyle name="Porcentaj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AA30"/>
  <sheetViews>
    <sheetView tabSelected="1" topLeftCell="A2" zoomScale="70" zoomScaleNormal="70" workbookViewId="0">
      <selection activeCell="C13" sqref="C13:G25"/>
    </sheetView>
  </sheetViews>
  <sheetFormatPr baseColWidth="10" defaultRowHeight="12.75" x14ac:dyDescent="0.2"/>
  <cols>
    <col min="1" max="1" width="8" style="4" customWidth="1"/>
    <col min="2" max="2" width="14.7109375" style="4" bestFit="1" customWidth="1"/>
    <col min="3" max="3" width="39.28515625" style="4" customWidth="1"/>
    <col min="4" max="4" width="18.42578125" style="4" bestFit="1" customWidth="1"/>
    <col min="5" max="5" width="14.42578125" style="4" customWidth="1"/>
    <col min="6" max="6" width="21" style="4" customWidth="1"/>
    <col min="7" max="7" width="12.7109375" style="5" bestFit="1" customWidth="1"/>
    <col min="8" max="8" width="11.5703125" style="5" customWidth="1"/>
    <col min="9" max="9" width="9.5703125" style="5" bestFit="1" customWidth="1"/>
    <col min="10" max="10" width="11.42578125" style="4"/>
    <col min="11" max="11" width="11.7109375" style="4" bestFit="1" customWidth="1"/>
    <col min="12" max="12" width="16.42578125" style="4" bestFit="1" customWidth="1"/>
    <col min="13" max="13" width="11.42578125" style="4"/>
    <col min="14" max="14" width="17" style="4" customWidth="1"/>
    <col min="15" max="15" width="11.42578125" style="4"/>
    <col min="16" max="16" width="12.7109375" style="4" customWidth="1"/>
    <col min="17" max="20" width="11.42578125" style="4"/>
    <col min="21" max="21" width="14.5703125" style="4" bestFit="1" customWidth="1"/>
    <col min="22" max="22" width="14.85546875" style="4" customWidth="1"/>
    <col min="23" max="242" width="11.42578125" style="4"/>
    <col min="243" max="243" width="12.7109375" style="4" bestFit="1" customWidth="1"/>
    <col min="244" max="246" width="11.42578125" style="4"/>
    <col min="247" max="248" width="11.7109375" style="4" bestFit="1" customWidth="1"/>
    <col min="249" max="498" width="11.42578125" style="4"/>
    <col min="499" max="499" width="12.7109375" style="4" bestFit="1" customWidth="1"/>
    <col min="500" max="502" width="11.42578125" style="4"/>
    <col min="503" max="504" width="11.7109375" style="4" bestFit="1" customWidth="1"/>
    <col min="505" max="754" width="11.42578125" style="4"/>
    <col min="755" max="755" width="12.7109375" style="4" bestFit="1" customWidth="1"/>
    <col min="756" max="758" width="11.42578125" style="4"/>
    <col min="759" max="760" width="11.7109375" style="4" bestFit="1" customWidth="1"/>
    <col min="761" max="1010" width="11.42578125" style="4"/>
    <col min="1011" max="1011" width="12.7109375" style="4" bestFit="1" customWidth="1"/>
    <col min="1012" max="1014" width="11.42578125" style="4"/>
    <col min="1015" max="1016" width="11.7109375" style="4" bestFit="1" customWidth="1"/>
    <col min="1017" max="1266" width="11.42578125" style="4"/>
    <col min="1267" max="1267" width="12.7109375" style="4" bestFit="1" customWidth="1"/>
    <col min="1268" max="1270" width="11.42578125" style="4"/>
    <col min="1271" max="1272" width="11.7109375" style="4" bestFit="1" customWidth="1"/>
    <col min="1273" max="1522" width="11.42578125" style="4"/>
    <col min="1523" max="1523" width="12.7109375" style="4" bestFit="1" customWidth="1"/>
    <col min="1524" max="1526" width="11.42578125" style="4"/>
    <col min="1527" max="1528" width="11.7109375" style="4" bestFit="1" customWidth="1"/>
    <col min="1529" max="1778" width="11.42578125" style="4"/>
    <col min="1779" max="1779" width="12.7109375" style="4" bestFit="1" customWidth="1"/>
    <col min="1780" max="1782" width="11.42578125" style="4"/>
    <col min="1783" max="1784" width="11.7109375" style="4" bestFit="1" customWidth="1"/>
    <col min="1785" max="2034" width="11.42578125" style="4"/>
    <col min="2035" max="2035" width="12.7109375" style="4" bestFit="1" customWidth="1"/>
    <col min="2036" max="2038" width="11.42578125" style="4"/>
    <col min="2039" max="2040" width="11.7109375" style="4" bestFit="1" customWidth="1"/>
    <col min="2041" max="2290" width="11.42578125" style="4"/>
    <col min="2291" max="2291" width="12.7109375" style="4" bestFit="1" customWidth="1"/>
    <col min="2292" max="2294" width="11.42578125" style="4"/>
    <col min="2295" max="2296" width="11.7109375" style="4" bestFit="1" customWidth="1"/>
    <col min="2297" max="2546" width="11.42578125" style="4"/>
    <col min="2547" max="2547" width="12.7109375" style="4" bestFit="1" customWidth="1"/>
    <col min="2548" max="2550" width="11.42578125" style="4"/>
    <col min="2551" max="2552" width="11.7109375" style="4" bestFit="1" customWidth="1"/>
    <col min="2553" max="2802" width="11.42578125" style="4"/>
    <col min="2803" max="2803" width="12.7109375" style="4" bestFit="1" customWidth="1"/>
    <col min="2804" max="2806" width="11.42578125" style="4"/>
    <col min="2807" max="2808" width="11.7109375" style="4" bestFit="1" customWidth="1"/>
    <col min="2809" max="3058" width="11.42578125" style="4"/>
    <col min="3059" max="3059" width="12.7109375" style="4" bestFit="1" customWidth="1"/>
    <col min="3060" max="3062" width="11.42578125" style="4"/>
    <col min="3063" max="3064" width="11.7109375" style="4" bestFit="1" customWidth="1"/>
    <col min="3065" max="3314" width="11.42578125" style="4"/>
    <col min="3315" max="3315" width="12.7109375" style="4" bestFit="1" customWidth="1"/>
    <col min="3316" max="3318" width="11.42578125" style="4"/>
    <col min="3319" max="3320" width="11.7109375" style="4" bestFit="1" customWidth="1"/>
    <col min="3321" max="3570" width="11.42578125" style="4"/>
    <col min="3571" max="3571" width="12.7109375" style="4" bestFit="1" customWidth="1"/>
    <col min="3572" max="3574" width="11.42578125" style="4"/>
    <col min="3575" max="3576" width="11.7109375" style="4" bestFit="1" customWidth="1"/>
    <col min="3577" max="3826" width="11.42578125" style="4"/>
    <col min="3827" max="3827" width="12.7109375" style="4" bestFit="1" customWidth="1"/>
    <col min="3828" max="3830" width="11.42578125" style="4"/>
    <col min="3831" max="3832" width="11.7109375" style="4" bestFit="1" customWidth="1"/>
    <col min="3833" max="4082" width="11.42578125" style="4"/>
    <col min="4083" max="4083" width="12.7109375" style="4" bestFit="1" customWidth="1"/>
    <col min="4084" max="4086" width="11.42578125" style="4"/>
    <col min="4087" max="4088" width="11.7109375" style="4" bestFit="1" customWidth="1"/>
    <col min="4089" max="4338" width="11.42578125" style="4"/>
    <col min="4339" max="4339" width="12.7109375" style="4" bestFit="1" customWidth="1"/>
    <col min="4340" max="4342" width="11.42578125" style="4"/>
    <col min="4343" max="4344" width="11.7109375" style="4" bestFit="1" customWidth="1"/>
    <col min="4345" max="4594" width="11.42578125" style="4"/>
    <col min="4595" max="4595" width="12.7109375" style="4" bestFit="1" customWidth="1"/>
    <col min="4596" max="4598" width="11.42578125" style="4"/>
    <col min="4599" max="4600" width="11.7109375" style="4" bestFit="1" customWidth="1"/>
    <col min="4601" max="4850" width="11.42578125" style="4"/>
    <col min="4851" max="4851" width="12.7109375" style="4" bestFit="1" customWidth="1"/>
    <col min="4852" max="4854" width="11.42578125" style="4"/>
    <col min="4855" max="4856" width="11.7109375" style="4" bestFit="1" customWidth="1"/>
    <col min="4857" max="5106" width="11.42578125" style="4"/>
    <col min="5107" max="5107" width="12.7109375" style="4" bestFit="1" customWidth="1"/>
    <col min="5108" max="5110" width="11.42578125" style="4"/>
    <col min="5111" max="5112" width="11.7109375" style="4" bestFit="1" customWidth="1"/>
    <col min="5113" max="5362" width="11.42578125" style="4"/>
    <col min="5363" max="5363" width="12.7109375" style="4" bestFit="1" customWidth="1"/>
    <col min="5364" max="5366" width="11.42578125" style="4"/>
    <col min="5367" max="5368" width="11.7109375" style="4" bestFit="1" customWidth="1"/>
    <col min="5369" max="5618" width="11.42578125" style="4"/>
    <col min="5619" max="5619" width="12.7109375" style="4" bestFit="1" customWidth="1"/>
    <col min="5620" max="5622" width="11.42578125" style="4"/>
    <col min="5623" max="5624" width="11.7109375" style="4" bestFit="1" customWidth="1"/>
    <col min="5625" max="5874" width="11.42578125" style="4"/>
    <col min="5875" max="5875" width="12.7109375" style="4" bestFit="1" customWidth="1"/>
    <col min="5876" max="5878" width="11.42578125" style="4"/>
    <col min="5879" max="5880" width="11.7109375" style="4" bestFit="1" customWidth="1"/>
    <col min="5881" max="6130" width="11.42578125" style="4"/>
    <col min="6131" max="6131" width="12.7109375" style="4" bestFit="1" customWidth="1"/>
    <col min="6132" max="6134" width="11.42578125" style="4"/>
    <col min="6135" max="6136" width="11.7109375" style="4" bestFit="1" customWidth="1"/>
    <col min="6137" max="6386" width="11.42578125" style="4"/>
    <col min="6387" max="6387" width="12.7109375" style="4" bestFit="1" customWidth="1"/>
    <col min="6388" max="6390" width="11.42578125" style="4"/>
    <col min="6391" max="6392" width="11.7109375" style="4" bestFit="1" customWidth="1"/>
    <col min="6393" max="6642" width="11.42578125" style="4"/>
    <col min="6643" max="6643" width="12.7109375" style="4" bestFit="1" customWidth="1"/>
    <col min="6644" max="6646" width="11.42578125" style="4"/>
    <col min="6647" max="6648" width="11.7109375" style="4" bestFit="1" customWidth="1"/>
    <col min="6649" max="6898" width="11.42578125" style="4"/>
    <col min="6899" max="6899" width="12.7109375" style="4" bestFit="1" customWidth="1"/>
    <col min="6900" max="6902" width="11.42578125" style="4"/>
    <col min="6903" max="6904" width="11.7109375" style="4" bestFit="1" customWidth="1"/>
    <col min="6905" max="7154" width="11.42578125" style="4"/>
    <col min="7155" max="7155" width="12.7109375" style="4" bestFit="1" customWidth="1"/>
    <col min="7156" max="7158" width="11.42578125" style="4"/>
    <col min="7159" max="7160" width="11.7109375" style="4" bestFit="1" customWidth="1"/>
    <col min="7161" max="7410" width="11.42578125" style="4"/>
    <col min="7411" max="7411" width="12.7109375" style="4" bestFit="1" customWidth="1"/>
    <col min="7412" max="7414" width="11.42578125" style="4"/>
    <col min="7415" max="7416" width="11.7109375" style="4" bestFit="1" customWidth="1"/>
    <col min="7417" max="7666" width="11.42578125" style="4"/>
    <col min="7667" max="7667" width="12.7109375" style="4" bestFit="1" customWidth="1"/>
    <col min="7668" max="7670" width="11.42578125" style="4"/>
    <col min="7671" max="7672" width="11.7109375" style="4" bestFit="1" customWidth="1"/>
    <col min="7673" max="7922" width="11.42578125" style="4"/>
    <col min="7923" max="7923" width="12.7109375" style="4" bestFit="1" customWidth="1"/>
    <col min="7924" max="7926" width="11.42578125" style="4"/>
    <col min="7927" max="7928" width="11.7109375" style="4" bestFit="1" customWidth="1"/>
    <col min="7929" max="8178" width="11.42578125" style="4"/>
    <col min="8179" max="8179" width="12.7109375" style="4" bestFit="1" customWidth="1"/>
    <col min="8180" max="8182" width="11.42578125" style="4"/>
    <col min="8183" max="8184" width="11.7109375" style="4" bestFit="1" customWidth="1"/>
    <col min="8185" max="8434" width="11.42578125" style="4"/>
    <col min="8435" max="8435" width="12.7109375" style="4" bestFit="1" customWidth="1"/>
    <col min="8436" max="8438" width="11.42578125" style="4"/>
    <col min="8439" max="8440" width="11.7109375" style="4" bestFit="1" customWidth="1"/>
    <col min="8441" max="8690" width="11.42578125" style="4"/>
    <col min="8691" max="8691" width="12.7109375" style="4" bestFit="1" customWidth="1"/>
    <col min="8692" max="8694" width="11.42578125" style="4"/>
    <col min="8695" max="8696" width="11.7109375" style="4" bestFit="1" customWidth="1"/>
    <col min="8697" max="8946" width="11.42578125" style="4"/>
    <col min="8947" max="8947" width="12.7109375" style="4" bestFit="1" customWidth="1"/>
    <col min="8948" max="8950" width="11.42578125" style="4"/>
    <col min="8951" max="8952" width="11.7109375" style="4" bestFit="1" customWidth="1"/>
    <col min="8953" max="9202" width="11.42578125" style="4"/>
    <col min="9203" max="9203" width="12.7109375" style="4" bestFit="1" customWidth="1"/>
    <col min="9204" max="9206" width="11.42578125" style="4"/>
    <col min="9207" max="9208" width="11.7109375" style="4" bestFit="1" customWidth="1"/>
    <col min="9209" max="9458" width="11.42578125" style="4"/>
    <col min="9459" max="9459" width="12.7109375" style="4" bestFit="1" customWidth="1"/>
    <col min="9460" max="9462" width="11.42578125" style="4"/>
    <col min="9463" max="9464" width="11.7109375" style="4" bestFit="1" customWidth="1"/>
    <col min="9465" max="9714" width="11.42578125" style="4"/>
    <col min="9715" max="9715" width="12.7109375" style="4" bestFit="1" customWidth="1"/>
    <col min="9716" max="9718" width="11.42578125" style="4"/>
    <col min="9719" max="9720" width="11.7109375" style="4" bestFit="1" customWidth="1"/>
    <col min="9721" max="9970" width="11.42578125" style="4"/>
    <col min="9971" max="9971" width="12.7109375" style="4" bestFit="1" customWidth="1"/>
    <col min="9972" max="9974" width="11.42578125" style="4"/>
    <col min="9975" max="9976" width="11.7109375" style="4" bestFit="1" customWidth="1"/>
    <col min="9977" max="10226" width="11.42578125" style="4"/>
    <col min="10227" max="10227" width="12.7109375" style="4" bestFit="1" customWidth="1"/>
    <col min="10228" max="10230" width="11.42578125" style="4"/>
    <col min="10231" max="10232" width="11.7109375" style="4" bestFit="1" customWidth="1"/>
    <col min="10233" max="10482" width="11.42578125" style="4"/>
    <col min="10483" max="10483" width="12.7109375" style="4" bestFit="1" customWidth="1"/>
    <col min="10484" max="10486" width="11.42578125" style="4"/>
    <col min="10487" max="10488" width="11.7109375" style="4" bestFit="1" customWidth="1"/>
    <col min="10489" max="10738" width="11.42578125" style="4"/>
    <col min="10739" max="10739" width="12.7109375" style="4" bestFit="1" customWidth="1"/>
    <col min="10740" max="10742" width="11.42578125" style="4"/>
    <col min="10743" max="10744" width="11.7109375" style="4" bestFit="1" customWidth="1"/>
    <col min="10745" max="10994" width="11.42578125" style="4"/>
    <col min="10995" max="10995" width="12.7109375" style="4" bestFit="1" customWidth="1"/>
    <col min="10996" max="10998" width="11.42578125" style="4"/>
    <col min="10999" max="11000" width="11.7109375" style="4" bestFit="1" customWidth="1"/>
    <col min="11001" max="11250" width="11.42578125" style="4"/>
    <col min="11251" max="11251" width="12.7109375" style="4" bestFit="1" customWidth="1"/>
    <col min="11252" max="11254" width="11.42578125" style="4"/>
    <col min="11255" max="11256" width="11.7109375" style="4" bestFit="1" customWidth="1"/>
    <col min="11257" max="11506" width="11.42578125" style="4"/>
    <col min="11507" max="11507" width="12.7109375" style="4" bestFit="1" customWidth="1"/>
    <col min="11508" max="11510" width="11.42578125" style="4"/>
    <col min="11511" max="11512" width="11.7109375" style="4" bestFit="1" customWidth="1"/>
    <col min="11513" max="11762" width="11.42578125" style="4"/>
    <col min="11763" max="11763" width="12.7109375" style="4" bestFit="1" customWidth="1"/>
    <col min="11764" max="11766" width="11.42578125" style="4"/>
    <col min="11767" max="11768" width="11.7109375" style="4" bestFit="1" customWidth="1"/>
    <col min="11769" max="12018" width="11.42578125" style="4"/>
    <col min="12019" max="12019" width="12.7109375" style="4" bestFit="1" customWidth="1"/>
    <col min="12020" max="12022" width="11.42578125" style="4"/>
    <col min="12023" max="12024" width="11.7109375" style="4" bestFit="1" customWidth="1"/>
    <col min="12025" max="12274" width="11.42578125" style="4"/>
    <col min="12275" max="12275" width="12.7109375" style="4" bestFit="1" customWidth="1"/>
    <col min="12276" max="12278" width="11.42578125" style="4"/>
    <col min="12279" max="12280" width="11.7109375" style="4" bestFit="1" customWidth="1"/>
    <col min="12281" max="12530" width="11.42578125" style="4"/>
    <col min="12531" max="12531" width="12.7109375" style="4" bestFit="1" customWidth="1"/>
    <col min="12532" max="12534" width="11.42578125" style="4"/>
    <col min="12535" max="12536" width="11.7109375" style="4" bestFit="1" customWidth="1"/>
    <col min="12537" max="12786" width="11.42578125" style="4"/>
    <col min="12787" max="12787" width="12.7109375" style="4" bestFit="1" customWidth="1"/>
    <col min="12788" max="12790" width="11.42578125" style="4"/>
    <col min="12791" max="12792" width="11.7109375" style="4" bestFit="1" customWidth="1"/>
    <col min="12793" max="13042" width="11.42578125" style="4"/>
    <col min="13043" max="13043" width="12.7109375" style="4" bestFit="1" customWidth="1"/>
    <col min="13044" max="13046" width="11.42578125" style="4"/>
    <col min="13047" max="13048" width="11.7109375" style="4" bestFit="1" customWidth="1"/>
    <col min="13049" max="13298" width="11.42578125" style="4"/>
    <col min="13299" max="13299" width="12.7109375" style="4" bestFit="1" customWidth="1"/>
    <col min="13300" max="13302" width="11.42578125" style="4"/>
    <col min="13303" max="13304" width="11.7109375" style="4" bestFit="1" customWidth="1"/>
    <col min="13305" max="13554" width="11.42578125" style="4"/>
    <col min="13555" max="13555" width="12.7109375" style="4" bestFit="1" customWidth="1"/>
    <col min="13556" max="13558" width="11.42578125" style="4"/>
    <col min="13559" max="13560" width="11.7109375" style="4" bestFit="1" customWidth="1"/>
    <col min="13561" max="13810" width="11.42578125" style="4"/>
    <col min="13811" max="13811" width="12.7109375" style="4" bestFit="1" customWidth="1"/>
    <col min="13812" max="13814" width="11.42578125" style="4"/>
    <col min="13815" max="13816" width="11.7109375" style="4" bestFit="1" customWidth="1"/>
    <col min="13817" max="14066" width="11.42578125" style="4"/>
    <col min="14067" max="14067" width="12.7109375" style="4" bestFit="1" customWidth="1"/>
    <col min="14068" max="14070" width="11.42578125" style="4"/>
    <col min="14071" max="14072" width="11.7109375" style="4" bestFit="1" customWidth="1"/>
    <col min="14073" max="14322" width="11.42578125" style="4"/>
    <col min="14323" max="14323" width="12.7109375" style="4" bestFit="1" customWidth="1"/>
    <col min="14324" max="14326" width="11.42578125" style="4"/>
    <col min="14327" max="14328" width="11.7109375" style="4" bestFit="1" customWidth="1"/>
    <col min="14329" max="14578" width="11.42578125" style="4"/>
    <col min="14579" max="14579" width="12.7109375" style="4" bestFit="1" customWidth="1"/>
    <col min="14580" max="14582" width="11.42578125" style="4"/>
    <col min="14583" max="14584" width="11.7109375" style="4" bestFit="1" customWidth="1"/>
    <col min="14585" max="14834" width="11.42578125" style="4"/>
    <col min="14835" max="14835" width="12.7109375" style="4" bestFit="1" customWidth="1"/>
    <col min="14836" max="14838" width="11.42578125" style="4"/>
    <col min="14839" max="14840" width="11.7109375" style="4" bestFit="1" customWidth="1"/>
    <col min="14841" max="15090" width="11.42578125" style="4"/>
    <col min="15091" max="15091" width="12.7109375" style="4" bestFit="1" customWidth="1"/>
    <col min="15092" max="15094" width="11.42578125" style="4"/>
    <col min="15095" max="15096" width="11.7109375" style="4" bestFit="1" customWidth="1"/>
    <col min="15097" max="15346" width="11.42578125" style="4"/>
    <col min="15347" max="15347" width="12.7109375" style="4" bestFit="1" customWidth="1"/>
    <col min="15348" max="15350" width="11.42578125" style="4"/>
    <col min="15351" max="15352" width="11.7109375" style="4" bestFit="1" customWidth="1"/>
    <col min="15353" max="15602" width="11.42578125" style="4"/>
    <col min="15603" max="15603" width="12.7109375" style="4" bestFit="1" customWidth="1"/>
    <col min="15604" max="15606" width="11.42578125" style="4"/>
    <col min="15607" max="15608" width="11.7109375" style="4" bestFit="1" customWidth="1"/>
    <col min="15609" max="15858" width="11.42578125" style="4"/>
    <col min="15859" max="15859" width="12.7109375" style="4" bestFit="1" customWidth="1"/>
    <col min="15860" max="15862" width="11.42578125" style="4"/>
    <col min="15863" max="15864" width="11.7109375" style="4" bestFit="1" customWidth="1"/>
    <col min="15865" max="16114" width="11.42578125" style="4"/>
    <col min="16115" max="16115" width="12.7109375" style="4" bestFit="1" customWidth="1"/>
    <col min="16116" max="16118" width="11.42578125" style="4"/>
    <col min="16119" max="16120" width="11.7109375" style="4" bestFit="1" customWidth="1"/>
    <col min="16121" max="16384" width="11.42578125" style="4"/>
  </cols>
  <sheetData>
    <row r="1" spans="1:27" s="19" customFormat="1" ht="24.75" customHeight="1" x14ac:dyDescent="0.3">
      <c r="B1" s="69"/>
      <c r="C1" s="138" t="s">
        <v>139</v>
      </c>
      <c r="D1" s="69"/>
      <c r="E1" s="69"/>
      <c r="F1" s="72"/>
      <c r="G1" s="69"/>
      <c r="H1" s="41"/>
      <c r="I1" s="41"/>
      <c r="J1" s="41"/>
      <c r="K1" s="70"/>
      <c r="L1" s="70"/>
      <c r="M1" s="70"/>
      <c r="N1" s="69"/>
    </row>
    <row r="2" spans="1:27" s="19" customFormat="1" ht="26.25" customHeight="1" x14ac:dyDescent="0.3">
      <c r="B2" s="72"/>
      <c r="C2" s="138" t="s">
        <v>140</v>
      </c>
      <c r="D2" s="69"/>
      <c r="E2" s="69"/>
      <c r="F2" s="69"/>
      <c r="G2" s="70"/>
      <c r="H2" s="69"/>
      <c r="I2" s="69"/>
      <c r="J2" s="69"/>
      <c r="K2" s="69"/>
      <c r="L2" s="69"/>
      <c r="M2" s="69"/>
      <c r="N2" s="69"/>
    </row>
    <row r="3" spans="1:27" s="19" customFormat="1" ht="15.75" customHeight="1" x14ac:dyDescent="0.25">
      <c r="B3" s="72"/>
      <c r="C3" s="125"/>
      <c r="D3" s="69"/>
      <c r="E3" s="69"/>
      <c r="F3" s="69"/>
      <c r="G3" s="70"/>
      <c r="H3" s="69"/>
      <c r="I3" s="69"/>
      <c r="J3" s="69"/>
      <c r="K3" s="69"/>
      <c r="L3" s="69"/>
      <c r="M3" s="69"/>
      <c r="N3" s="69"/>
    </row>
    <row r="4" spans="1:27" s="19" customFormat="1" ht="14.25" customHeight="1" thickBot="1" x14ac:dyDescent="0.3">
      <c r="B4" s="72"/>
      <c r="C4" s="69"/>
      <c r="D4" s="71"/>
      <c r="E4" s="69"/>
      <c r="F4" s="72"/>
      <c r="G4" s="70"/>
      <c r="H4" s="70"/>
      <c r="I4" s="70"/>
      <c r="J4" s="69"/>
      <c r="K4" s="69"/>
      <c r="L4" s="69"/>
      <c r="M4" s="69"/>
      <c r="N4" s="69"/>
    </row>
    <row r="5" spans="1:27" s="7" customFormat="1" ht="29.25" customHeight="1" thickBot="1" x14ac:dyDescent="0.3">
      <c r="B5" s="73"/>
      <c r="C5" s="33" t="s">
        <v>123</v>
      </c>
      <c r="D5" s="34"/>
      <c r="E5" s="34"/>
      <c r="F5" s="34"/>
      <c r="G5" s="35"/>
      <c r="H5" s="74" t="s">
        <v>132</v>
      </c>
      <c r="I5" s="74"/>
      <c r="J5" s="69"/>
      <c r="K5" s="69"/>
      <c r="L5" s="69"/>
      <c r="M5" s="69"/>
      <c r="N5" s="6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</row>
    <row r="6" spans="1:27" ht="64.5" thickBot="1" x14ac:dyDescent="0.25">
      <c r="B6" s="41"/>
      <c r="C6" s="192" t="s">
        <v>138</v>
      </c>
      <c r="D6" s="191" t="s">
        <v>141</v>
      </c>
      <c r="E6" s="191" t="s">
        <v>110</v>
      </c>
      <c r="F6" s="191" t="s">
        <v>202</v>
      </c>
      <c r="G6" s="191" t="s">
        <v>175</v>
      </c>
      <c r="H6" s="610" t="s">
        <v>318</v>
      </c>
      <c r="I6" s="75"/>
      <c r="J6" s="69"/>
      <c r="K6" s="69"/>
      <c r="L6" s="69"/>
      <c r="M6" s="69"/>
      <c r="N6" s="6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</row>
    <row r="7" spans="1:27" ht="15.75" thickBot="1" x14ac:dyDescent="0.3">
      <c r="B7" s="41"/>
      <c r="C7" s="193" t="s">
        <v>85</v>
      </c>
      <c r="D7" s="194">
        <v>5.2</v>
      </c>
      <c r="E7" s="197" t="s">
        <v>109</v>
      </c>
      <c r="F7" s="201">
        <f>+(8400)/36.914</f>
        <v>227.55594083545537</v>
      </c>
      <c r="G7" s="198">
        <v>8</v>
      </c>
      <c r="H7" s="730">
        <f>+'PDI Aux'!P83</f>
        <v>0.57799999999999996</v>
      </c>
      <c r="I7" s="75"/>
      <c r="J7" s="69"/>
      <c r="K7" s="69"/>
      <c r="L7" s="69"/>
      <c r="M7" s="69"/>
      <c r="N7" s="6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</row>
    <row r="8" spans="1:27" ht="15.75" thickBot="1" x14ac:dyDescent="0.3">
      <c r="B8" s="41"/>
      <c r="C8" s="145" t="s">
        <v>88</v>
      </c>
      <c r="D8" s="195">
        <v>400</v>
      </c>
      <c r="E8" s="184" t="s">
        <v>90</v>
      </c>
      <c r="F8" s="184">
        <v>8580</v>
      </c>
      <c r="G8" s="199">
        <v>12</v>
      </c>
      <c r="H8" s="731">
        <f>+'PDI Aux'!S83</f>
        <v>17</v>
      </c>
      <c r="I8" s="64"/>
      <c r="J8" s="69"/>
      <c r="K8" s="69"/>
      <c r="L8" s="69"/>
      <c r="M8" s="69"/>
      <c r="N8" s="69"/>
    </row>
    <row r="9" spans="1:27" ht="15.75" thickBot="1" x14ac:dyDescent="0.3">
      <c r="B9" s="41"/>
      <c r="C9" s="147" t="s">
        <v>89</v>
      </c>
      <c r="D9" s="196">
        <v>300</v>
      </c>
      <c r="E9" s="185" t="s">
        <v>91</v>
      </c>
      <c r="F9" s="185">
        <v>9800</v>
      </c>
      <c r="G9" s="200"/>
      <c r="H9" s="64"/>
      <c r="I9" s="64"/>
      <c r="J9" s="41"/>
      <c r="K9" s="41"/>
      <c r="L9" s="41"/>
      <c r="M9" s="41"/>
      <c r="N9" s="41"/>
    </row>
    <row r="10" spans="1:27" x14ac:dyDescent="0.2">
      <c r="B10" s="41"/>
      <c r="C10" s="68" t="s">
        <v>291</v>
      </c>
      <c r="D10" s="68"/>
      <c r="E10" s="68"/>
      <c r="F10" s="76"/>
      <c r="G10" s="68"/>
      <c r="H10" s="64"/>
      <c r="I10" s="64"/>
      <c r="J10" s="41"/>
      <c r="K10" s="41"/>
      <c r="L10" s="41"/>
      <c r="M10" s="41"/>
      <c r="N10" s="41"/>
    </row>
    <row r="11" spans="1:27" x14ac:dyDescent="0.2">
      <c r="B11" s="41"/>
      <c r="C11" s="68"/>
      <c r="D11" s="68"/>
      <c r="E11" s="68"/>
      <c r="F11" s="76"/>
      <c r="G11" s="68"/>
      <c r="H11" s="64"/>
      <c r="I11" s="64"/>
      <c r="J11" s="41"/>
      <c r="K11" s="41"/>
      <c r="L11" s="41"/>
      <c r="M11" s="41"/>
      <c r="N11" s="41"/>
    </row>
    <row r="12" spans="1:27" ht="15.75" thickBot="1" x14ac:dyDescent="0.25">
      <c r="A12" s="25"/>
      <c r="B12" s="25"/>
      <c r="D12" s="26"/>
      <c r="E12" s="26"/>
      <c r="F12" s="39"/>
      <c r="G12" s="39"/>
      <c r="H12" s="39"/>
      <c r="I12" s="39"/>
      <c r="J12" s="39"/>
      <c r="K12" s="42"/>
      <c r="L12" s="39"/>
      <c r="M12" s="39"/>
      <c r="N12" s="39"/>
      <c r="O12" s="39"/>
      <c r="P12" s="40"/>
      <c r="Q12" s="40"/>
      <c r="R12" s="40"/>
      <c r="S12" s="40"/>
      <c r="T12" s="39"/>
      <c r="U12" s="40"/>
      <c r="V12" s="40"/>
      <c r="W12" s="41"/>
      <c r="X12" s="41"/>
      <c r="Y12" s="41"/>
      <c r="Z12" s="41"/>
      <c r="AA12" s="41"/>
    </row>
    <row r="13" spans="1:27" s="6" customFormat="1" ht="30.75" thickBot="1" x14ac:dyDescent="0.25">
      <c r="C13" s="27" t="s">
        <v>130</v>
      </c>
      <c r="D13" s="202" t="s">
        <v>131</v>
      </c>
      <c r="E13" s="27" t="s">
        <v>201</v>
      </c>
      <c r="F13" s="8" t="s">
        <v>200</v>
      </c>
      <c r="G13" s="27" t="s">
        <v>203</v>
      </c>
      <c r="H13" s="42"/>
      <c r="J13" s="42"/>
      <c r="K13" s="46"/>
      <c r="L13" s="42"/>
      <c r="M13" s="42"/>
      <c r="N13" s="42"/>
      <c r="O13" s="42"/>
      <c r="P13" s="42"/>
      <c r="Q13" s="42"/>
      <c r="R13" s="42"/>
      <c r="S13" s="42"/>
      <c r="T13" s="43"/>
      <c r="U13" s="42"/>
      <c r="V13" s="42"/>
      <c r="W13" s="43"/>
      <c r="X13" s="44"/>
      <c r="Y13" s="45"/>
      <c r="Z13" s="45"/>
      <c r="AA13" s="45"/>
    </row>
    <row r="14" spans="1:27" ht="15.75" thickBot="1" x14ac:dyDescent="0.25">
      <c r="C14" s="212" t="s">
        <v>94</v>
      </c>
      <c r="D14" s="203" t="s">
        <v>85</v>
      </c>
      <c r="E14" s="218">
        <v>2400</v>
      </c>
      <c r="F14" s="225">
        <f>+$G$7</f>
        <v>8</v>
      </c>
      <c r="G14" s="223">
        <f>+E14*($D$7+$H$7)/$F$7+F14</f>
        <v>68.939740571428587</v>
      </c>
      <c r="H14" s="46"/>
      <c r="J14" s="48"/>
      <c r="K14" s="46"/>
      <c r="L14" s="48"/>
      <c r="M14" s="46"/>
      <c r="N14" s="47"/>
      <c r="O14" s="42"/>
      <c r="P14" s="42"/>
      <c r="Q14" s="49"/>
      <c r="R14" s="50"/>
      <c r="S14" s="50"/>
      <c r="T14" s="51"/>
      <c r="U14" s="52"/>
      <c r="V14" s="52"/>
      <c r="W14" s="42"/>
      <c r="X14" s="53"/>
      <c r="Y14" s="41"/>
      <c r="Z14" s="41"/>
      <c r="AA14" s="41"/>
    </row>
    <row r="15" spans="1:27" ht="15.75" thickBot="1" x14ac:dyDescent="0.25">
      <c r="C15" s="213" t="s">
        <v>95</v>
      </c>
      <c r="D15" s="204" t="s">
        <v>85</v>
      </c>
      <c r="E15" s="218">
        <v>2400</v>
      </c>
      <c r="F15" s="28">
        <f t="shared" ref="F15:F17" si="0">+$G$7</f>
        <v>8</v>
      </c>
      <c r="G15" s="223">
        <f t="shared" ref="G15:G17" si="1">+E15*($D$7+$H$7)/$F$7+F15</f>
        <v>68.939740571428587</v>
      </c>
      <c r="H15" s="46"/>
      <c r="J15" s="48"/>
      <c r="K15" s="46"/>
      <c r="L15" s="48"/>
      <c r="M15" s="46"/>
      <c r="N15" s="47"/>
      <c r="O15" s="42"/>
      <c r="P15" s="42"/>
      <c r="Q15" s="42"/>
      <c r="R15" s="42"/>
      <c r="S15" s="42"/>
      <c r="T15" s="54"/>
      <c r="U15" s="52"/>
      <c r="V15" s="52"/>
      <c r="W15" s="46"/>
      <c r="X15" s="53"/>
      <c r="Y15" s="41"/>
      <c r="Z15" s="41"/>
      <c r="AA15" s="41"/>
    </row>
    <row r="16" spans="1:27" ht="15.75" thickBot="1" x14ac:dyDescent="0.25">
      <c r="C16" s="213" t="s">
        <v>96</v>
      </c>
      <c r="D16" s="204" t="s">
        <v>85</v>
      </c>
      <c r="E16" s="218">
        <v>2400</v>
      </c>
      <c r="F16" s="28">
        <f t="shared" si="0"/>
        <v>8</v>
      </c>
      <c r="G16" s="223">
        <f t="shared" si="1"/>
        <v>68.939740571428587</v>
      </c>
      <c r="H16" s="46"/>
      <c r="J16" s="48"/>
      <c r="K16" s="46"/>
      <c r="L16" s="48"/>
      <c r="M16" s="46"/>
      <c r="N16" s="47"/>
      <c r="O16" s="42"/>
      <c r="P16" s="42"/>
      <c r="Q16" s="42"/>
      <c r="R16" s="42"/>
      <c r="S16" s="42"/>
      <c r="T16" s="54"/>
      <c r="U16" s="52"/>
      <c r="V16" s="52"/>
      <c r="W16" s="46"/>
      <c r="X16" s="53"/>
      <c r="Y16" s="41"/>
      <c r="Z16" s="41"/>
      <c r="AA16" s="41"/>
    </row>
    <row r="17" spans="3:27" ht="15.75" thickBot="1" x14ac:dyDescent="0.25">
      <c r="C17" s="213" t="s">
        <v>97</v>
      </c>
      <c r="D17" s="207" t="s">
        <v>85</v>
      </c>
      <c r="E17" s="219">
        <v>2200</v>
      </c>
      <c r="F17" s="208">
        <f t="shared" si="0"/>
        <v>8</v>
      </c>
      <c r="G17" s="223">
        <f t="shared" si="1"/>
        <v>63.861428857142862</v>
      </c>
      <c r="H17" s="46"/>
      <c r="J17" s="48"/>
      <c r="K17" s="46"/>
      <c r="L17" s="48"/>
      <c r="M17" s="46"/>
      <c r="N17" s="47"/>
      <c r="O17" s="42"/>
      <c r="P17" s="42"/>
      <c r="Q17" s="42"/>
      <c r="R17" s="42"/>
      <c r="S17" s="42"/>
      <c r="T17" s="54"/>
      <c r="U17" s="52"/>
      <c r="V17" s="52"/>
      <c r="W17" s="46"/>
      <c r="X17" s="53"/>
      <c r="Y17" s="41"/>
      <c r="Z17" s="41"/>
      <c r="AA17" s="41"/>
    </row>
    <row r="18" spans="3:27" ht="15.75" thickBot="1" x14ac:dyDescent="0.25">
      <c r="C18" s="215" t="s">
        <v>98</v>
      </c>
      <c r="D18" s="210" t="s">
        <v>88</v>
      </c>
      <c r="E18" s="220">
        <v>2200</v>
      </c>
      <c r="F18" s="226">
        <f>+$G$8</f>
        <v>12</v>
      </c>
      <c r="G18" s="224">
        <f>(+$D$8+$H$8)*E18/$F$8+F18</f>
        <v>118.92307692307692</v>
      </c>
      <c r="H18" s="46"/>
      <c r="J18" s="48"/>
      <c r="K18" s="46"/>
      <c r="L18" s="48"/>
      <c r="M18" s="46"/>
      <c r="N18" s="47"/>
      <c r="O18" s="42"/>
      <c r="P18" s="42"/>
      <c r="Q18" s="42"/>
      <c r="R18" s="42"/>
      <c r="S18" s="42"/>
      <c r="T18" s="54"/>
      <c r="U18" s="52"/>
      <c r="V18" s="52"/>
      <c r="W18" s="46"/>
      <c r="X18" s="53"/>
      <c r="Y18" s="41"/>
      <c r="Z18" s="41"/>
      <c r="AA18" s="41"/>
    </row>
    <row r="19" spans="3:27" ht="15.75" thickBot="1" x14ac:dyDescent="0.25">
      <c r="C19" s="216" t="s">
        <v>99</v>
      </c>
      <c r="D19" s="206" t="s">
        <v>88</v>
      </c>
      <c r="E19" s="221">
        <v>2400</v>
      </c>
      <c r="F19" s="227">
        <f t="shared" ref="F19:F21" si="2">+$G$8</f>
        <v>12</v>
      </c>
      <c r="G19" s="224">
        <f t="shared" ref="G19:G21" si="3">(+$D$8+$H$8)*E19/$F$8+F19</f>
        <v>128.64335664335664</v>
      </c>
      <c r="H19" s="46"/>
      <c r="J19" s="48"/>
      <c r="K19" s="46"/>
      <c r="L19" s="48"/>
      <c r="M19" s="46"/>
      <c r="N19" s="47"/>
      <c r="O19" s="42"/>
      <c r="P19" s="42"/>
      <c r="Q19" s="42"/>
      <c r="R19" s="42"/>
      <c r="S19" s="42"/>
      <c r="T19" s="54"/>
      <c r="U19" s="52"/>
      <c r="V19" s="52"/>
      <c r="W19" s="46"/>
      <c r="X19" s="53"/>
      <c r="Y19" s="41"/>
      <c r="Z19" s="41"/>
      <c r="AA19" s="41"/>
    </row>
    <row r="20" spans="3:27" ht="15.75" thickBot="1" x14ac:dyDescent="0.25">
      <c r="C20" s="216" t="s">
        <v>100</v>
      </c>
      <c r="D20" s="206" t="s">
        <v>88</v>
      </c>
      <c r="E20" s="221">
        <v>2400</v>
      </c>
      <c r="F20" s="227">
        <f t="shared" si="2"/>
        <v>12</v>
      </c>
      <c r="G20" s="224">
        <f t="shared" si="3"/>
        <v>128.64335664335664</v>
      </c>
      <c r="H20" s="46"/>
      <c r="J20" s="48"/>
      <c r="K20" s="46"/>
      <c r="L20" s="48"/>
      <c r="M20" s="46"/>
      <c r="N20" s="47"/>
      <c r="O20" s="42"/>
      <c r="P20" s="42"/>
      <c r="Q20" s="42"/>
      <c r="R20" s="42"/>
      <c r="S20" s="42"/>
      <c r="T20" s="54"/>
      <c r="U20" s="52"/>
      <c r="V20" s="52"/>
      <c r="W20" s="46"/>
      <c r="X20" s="53"/>
      <c r="Y20" s="41"/>
      <c r="Z20" s="41"/>
      <c r="AA20" s="41"/>
    </row>
    <row r="21" spans="3:27" ht="15.75" thickBot="1" x14ac:dyDescent="0.25">
      <c r="C21" s="217" t="s">
        <v>101</v>
      </c>
      <c r="D21" s="211" t="s">
        <v>88</v>
      </c>
      <c r="E21" s="222">
        <v>2400</v>
      </c>
      <c r="F21" s="228">
        <f t="shared" si="2"/>
        <v>12</v>
      </c>
      <c r="G21" s="224">
        <f t="shared" si="3"/>
        <v>128.64335664335664</v>
      </c>
      <c r="H21" s="46"/>
      <c r="J21" s="48"/>
      <c r="K21" s="46"/>
      <c r="L21" s="48"/>
      <c r="M21" s="46"/>
      <c r="N21" s="47"/>
      <c r="O21" s="42"/>
      <c r="P21" s="42"/>
      <c r="Q21" s="42"/>
      <c r="R21" s="42"/>
      <c r="S21" s="42"/>
      <c r="T21" s="54"/>
      <c r="U21" s="52"/>
      <c r="V21" s="52"/>
      <c r="W21" s="46"/>
      <c r="X21" s="53"/>
      <c r="Y21" s="41"/>
      <c r="Z21" s="41"/>
      <c r="AA21" s="41"/>
    </row>
    <row r="22" spans="3:27" ht="15.75" thickBot="1" x14ac:dyDescent="0.25">
      <c r="C22" s="213" t="s">
        <v>102</v>
      </c>
      <c r="D22" s="209" t="s">
        <v>85</v>
      </c>
      <c r="E22" s="218">
        <v>2200</v>
      </c>
      <c r="F22" s="28">
        <f t="shared" ref="F22:F25" si="4">+$G$7</f>
        <v>8</v>
      </c>
      <c r="G22" s="223">
        <f t="shared" ref="G22:G25" si="5">+E22*($D$7+$H$7)/$F$7+F22</f>
        <v>63.861428857142862</v>
      </c>
      <c r="H22" s="46"/>
      <c r="J22" s="48"/>
      <c r="K22" s="46"/>
      <c r="L22" s="48"/>
      <c r="M22" s="46"/>
      <c r="N22" s="47"/>
      <c r="O22" s="42"/>
      <c r="P22" s="42"/>
      <c r="Q22" s="42"/>
      <c r="R22" s="42"/>
      <c r="S22" s="42"/>
      <c r="T22" s="54"/>
      <c r="U22" s="52"/>
      <c r="V22" s="52"/>
      <c r="W22" s="46"/>
      <c r="X22" s="53"/>
      <c r="Y22" s="41"/>
      <c r="Z22" s="41"/>
      <c r="AA22" s="41"/>
    </row>
    <row r="23" spans="3:27" ht="15.75" thickBot="1" x14ac:dyDescent="0.25">
      <c r="C23" s="213" t="s">
        <v>103</v>
      </c>
      <c r="D23" s="204" t="s">
        <v>85</v>
      </c>
      <c r="E23" s="218">
        <v>2200</v>
      </c>
      <c r="F23" s="28">
        <f t="shared" si="4"/>
        <v>8</v>
      </c>
      <c r="G23" s="223">
        <f t="shared" si="5"/>
        <v>63.861428857142862</v>
      </c>
      <c r="H23" s="46"/>
      <c r="J23" s="48"/>
      <c r="K23" s="46"/>
      <c r="L23" s="48"/>
      <c r="M23" s="46"/>
      <c r="N23" s="47"/>
      <c r="O23" s="42"/>
      <c r="P23" s="42"/>
      <c r="Q23" s="42"/>
      <c r="R23" s="42"/>
      <c r="S23" s="42"/>
      <c r="T23" s="54"/>
      <c r="U23" s="52"/>
      <c r="V23" s="52"/>
      <c r="W23" s="46"/>
      <c r="X23" s="53"/>
      <c r="Y23" s="41"/>
      <c r="Z23" s="41"/>
      <c r="AA23" s="41"/>
    </row>
    <row r="24" spans="3:27" ht="15.75" thickBot="1" x14ac:dyDescent="0.25">
      <c r="C24" s="213" t="s">
        <v>104</v>
      </c>
      <c r="D24" s="204" t="s">
        <v>85</v>
      </c>
      <c r="E24" s="218">
        <v>2200</v>
      </c>
      <c r="F24" s="28">
        <f t="shared" si="4"/>
        <v>8</v>
      </c>
      <c r="G24" s="223">
        <f t="shared" si="5"/>
        <v>63.861428857142862</v>
      </c>
      <c r="H24" s="46"/>
      <c r="J24" s="48"/>
      <c r="K24" s="46"/>
      <c r="L24" s="48"/>
      <c r="M24" s="46"/>
      <c r="N24" s="47"/>
      <c r="O24" s="42"/>
      <c r="P24" s="42"/>
      <c r="Q24" s="42"/>
      <c r="R24" s="42"/>
      <c r="S24" s="42"/>
      <c r="T24" s="54"/>
      <c r="U24" s="52"/>
      <c r="V24" s="52"/>
      <c r="W24" s="46"/>
      <c r="X24" s="53"/>
      <c r="Y24" s="41"/>
      <c r="Z24" s="41"/>
      <c r="AA24" s="41"/>
    </row>
    <row r="25" spans="3:27" ht="15.75" thickBot="1" x14ac:dyDescent="0.25">
      <c r="C25" s="214" t="s">
        <v>105</v>
      </c>
      <c r="D25" s="205" t="s">
        <v>85</v>
      </c>
      <c r="E25" s="218">
        <v>2400</v>
      </c>
      <c r="F25" s="28">
        <f t="shared" si="4"/>
        <v>8</v>
      </c>
      <c r="G25" s="223">
        <f t="shared" si="5"/>
        <v>68.939740571428587</v>
      </c>
      <c r="H25" s="46"/>
      <c r="J25" s="48"/>
      <c r="K25" s="54"/>
      <c r="L25" s="48"/>
      <c r="M25" s="46"/>
      <c r="N25" s="47"/>
      <c r="O25" s="42"/>
      <c r="P25" s="42"/>
      <c r="Q25" s="42"/>
      <c r="R25" s="42"/>
      <c r="S25" s="42"/>
      <c r="T25" s="54"/>
      <c r="U25" s="52"/>
      <c r="V25" s="52"/>
      <c r="W25" s="46"/>
      <c r="X25" s="53"/>
      <c r="Y25" s="41"/>
      <c r="Z25" s="41"/>
      <c r="AA25" s="41"/>
    </row>
    <row r="26" spans="3:27" ht="15.75" thickBot="1" x14ac:dyDescent="0.25">
      <c r="C26" s="29"/>
      <c r="D26" s="29"/>
      <c r="E26" s="29"/>
      <c r="F26" s="29"/>
      <c r="G26" s="29"/>
      <c r="H26" s="54"/>
      <c r="J26" s="54"/>
      <c r="K26" s="54"/>
      <c r="L26" s="54"/>
      <c r="M26" s="54"/>
      <c r="N26" s="54"/>
      <c r="O26" s="54"/>
      <c r="P26" s="54"/>
      <c r="Q26" s="54"/>
      <c r="R26" s="54"/>
      <c r="S26" s="46"/>
      <c r="T26" s="46"/>
      <c r="U26" s="46"/>
      <c r="V26" s="46"/>
      <c r="W26" s="54"/>
      <c r="X26" s="41"/>
      <c r="Y26" s="41"/>
      <c r="Z26" s="41"/>
      <c r="AA26" s="41"/>
    </row>
    <row r="27" spans="3:27" ht="13.5" thickBot="1" x14ac:dyDescent="0.25">
      <c r="C27" s="29"/>
      <c r="E27" s="229"/>
      <c r="F27" s="229" t="s">
        <v>107</v>
      </c>
      <c r="G27" s="230">
        <f t="shared" ref="G27" si="6">AVERAGE(G14:G25)</f>
        <v>86.338152047286044</v>
      </c>
      <c r="H27" s="54" t="s">
        <v>204</v>
      </c>
      <c r="J27" s="54"/>
      <c r="K27" s="54"/>
      <c r="L27" s="54"/>
      <c r="M27" s="54"/>
      <c r="N27" s="55"/>
      <c r="O27" s="55"/>
      <c r="P27" s="54"/>
      <c r="Q27" s="54"/>
      <c r="R27" s="54"/>
      <c r="S27" s="54"/>
      <c r="T27" s="54"/>
      <c r="U27" s="52"/>
      <c r="V27" s="52"/>
      <c r="W27" s="54"/>
      <c r="X27" s="41"/>
      <c r="Y27" s="41"/>
      <c r="Z27" s="41"/>
      <c r="AA27" s="41"/>
    </row>
    <row r="28" spans="3:27" x14ac:dyDescent="0.2">
      <c r="C28" s="29"/>
      <c r="D28" s="29"/>
      <c r="E28" s="29"/>
      <c r="F28" s="29"/>
      <c r="G28" s="29"/>
      <c r="H28" s="54"/>
      <c r="J28" s="54"/>
      <c r="L28" s="54"/>
      <c r="M28" s="56"/>
      <c r="N28" s="57"/>
      <c r="O28" s="54"/>
      <c r="P28" s="54"/>
      <c r="Q28" s="54"/>
      <c r="R28" s="54"/>
      <c r="S28" s="54"/>
      <c r="T28" s="54"/>
      <c r="U28" s="54"/>
      <c r="V28" s="54"/>
      <c r="W28" s="54"/>
      <c r="X28" s="41"/>
      <c r="Y28" s="41"/>
      <c r="Z28" s="41"/>
      <c r="AA28" s="41"/>
    </row>
    <row r="29" spans="3:27" x14ac:dyDescent="0.2">
      <c r="C29" s="29"/>
      <c r="D29" s="29"/>
      <c r="E29" s="29"/>
      <c r="F29" s="29"/>
      <c r="G29" s="29"/>
      <c r="H29" s="54"/>
      <c r="J29" s="54"/>
      <c r="L29" s="54"/>
      <c r="M29" s="56"/>
      <c r="N29" s="57"/>
      <c r="O29" s="54"/>
      <c r="P29" s="54"/>
      <c r="Q29" s="54"/>
      <c r="R29" s="54"/>
      <c r="S29" s="54"/>
      <c r="T29" s="54"/>
      <c r="U29" s="54"/>
      <c r="V29" s="54"/>
      <c r="W29" s="54"/>
      <c r="X29" s="41"/>
      <c r="Y29" s="41"/>
      <c r="Z29" s="41"/>
      <c r="AA29" s="41"/>
    </row>
    <row r="30" spans="3:27" x14ac:dyDescent="0.2">
      <c r="K30" s="411"/>
      <c r="L30" s="411"/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1"/>
  <sheetViews>
    <sheetView zoomScale="85" zoomScaleNormal="85" workbookViewId="0">
      <selection activeCell="C20" sqref="C20"/>
    </sheetView>
  </sheetViews>
  <sheetFormatPr baseColWidth="10" defaultRowHeight="12.75" x14ac:dyDescent="0.2"/>
  <cols>
    <col min="1" max="1" width="8" style="4" customWidth="1"/>
    <col min="2" max="2" width="14.7109375" style="4" bestFit="1" customWidth="1"/>
    <col min="3" max="3" width="39.28515625" style="4" customWidth="1"/>
    <col min="4" max="4" width="18.42578125" style="4" bestFit="1" customWidth="1"/>
    <col min="5" max="5" width="14.42578125" style="4" customWidth="1"/>
    <col min="6" max="6" width="21" style="4" customWidth="1"/>
    <col min="7" max="7" width="12.7109375" style="5" bestFit="1" customWidth="1"/>
    <col min="8" max="8" width="11.5703125" style="5" bestFit="1" customWidth="1"/>
    <col min="9" max="9" width="9.5703125" style="5" bestFit="1" customWidth="1"/>
    <col min="10" max="10" width="11.42578125" style="4"/>
    <col min="11" max="11" width="11.7109375" style="4" bestFit="1" customWidth="1"/>
    <col min="12" max="12" width="16.42578125" style="4" bestFit="1" customWidth="1"/>
    <col min="13" max="13" width="11.42578125" style="4"/>
    <col min="14" max="14" width="17" style="4" customWidth="1"/>
    <col min="15" max="15" width="11.42578125" style="4"/>
    <col min="16" max="16" width="12.7109375" style="4" customWidth="1"/>
    <col min="17" max="20" width="11.42578125" style="4"/>
    <col min="21" max="21" width="14.5703125" style="4" bestFit="1" customWidth="1"/>
    <col min="22" max="22" width="14.85546875" style="4" customWidth="1"/>
    <col min="23" max="242" width="11.42578125" style="4"/>
    <col min="243" max="243" width="12.7109375" style="4" bestFit="1" customWidth="1"/>
    <col min="244" max="246" width="11.42578125" style="4"/>
    <col min="247" max="248" width="11.7109375" style="4" bestFit="1" customWidth="1"/>
    <col min="249" max="498" width="11.42578125" style="4"/>
    <col min="499" max="499" width="12.7109375" style="4" bestFit="1" customWidth="1"/>
    <col min="500" max="502" width="11.42578125" style="4"/>
    <col min="503" max="504" width="11.7109375" style="4" bestFit="1" customWidth="1"/>
    <col min="505" max="754" width="11.42578125" style="4"/>
    <col min="755" max="755" width="12.7109375" style="4" bestFit="1" customWidth="1"/>
    <col min="756" max="758" width="11.42578125" style="4"/>
    <col min="759" max="760" width="11.7109375" style="4" bestFit="1" customWidth="1"/>
    <col min="761" max="1010" width="11.42578125" style="4"/>
    <col min="1011" max="1011" width="12.7109375" style="4" bestFit="1" customWidth="1"/>
    <col min="1012" max="1014" width="11.42578125" style="4"/>
    <col min="1015" max="1016" width="11.7109375" style="4" bestFit="1" customWidth="1"/>
    <col min="1017" max="1266" width="11.42578125" style="4"/>
    <col min="1267" max="1267" width="12.7109375" style="4" bestFit="1" customWidth="1"/>
    <col min="1268" max="1270" width="11.42578125" style="4"/>
    <col min="1271" max="1272" width="11.7109375" style="4" bestFit="1" customWidth="1"/>
    <col min="1273" max="1522" width="11.42578125" style="4"/>
    <col min="1523" max="1523" width="12.7109375" style="4" bestFit="1" customWidth="1"/>
    <col min="1524" max="1526" width="11.42578125" style="4"/>
    <col min="1527" max="1528" width="11.7109375" style="4" bestFit="1" customWidth="1"/>
    <col min="1529" max="1778" width="11.42578125" style="4"/>
    <col min="1779" max="1779" width="12.7109375" style="4" bestFit="1" customWidth="1"/>
    <col min="1780" max="1782" width="11.42578125" style="4"/>
    <col min="1783" max="1784" width="11.7109375" style="4" bestFit="1" customWidth="1"/>
    <col min="1785" max="2034" width="11.42578125" style="4"/>
    <col min="2035" max="2035" width="12.7109375" style="4" bestFit="1" customWidth="1"/>
    <col min="2036" max="2038" width="11.42578125" style="4"/>
    <col min="2039" max="2040" width="11.7109375" style="4" bestFit="1" customWidth="1"/>
    <col min="2041" max="2290" width="11.42578125" style="4"/>
    <col min="2291" max="2291" width="12.7109375" style="4" bestFit="1" customWidth="1"/>
    <col min="2292" max="2294" width="11.42578125" style="4"/>
    <col min="2295" max="2296" width="11.7109375" style="4" bestFit="1" customWidth="1"/>
    <col min="2297" max="2546" width="11.42578125" style="4"/>
    <col min="2547" max="2547" width="12.7109375" style="4" bestFit="1" customWidth="1"/>
    <col min="2548" max="2550" width="11.42578125" style="4"/>
    <col min="2551" max="2552" width="11.7109375" style="4" bestFit="1" customWidth="1"/>
    <col min="2553" max="2802" width="11.42578125" style="4"/>
    <col min="2803" max="2803" width="12.7109375" style="4" bestFit="1" customWidth="1"/>
    <col min="2804" max="2806" width="11.42578125" style="4"/>
    <col min="2807" max="2808" width="11.7109375" style="4" bestFit="1" customWidth="1"/>
    <col min="2809" max="3058" width="11.42578125" style="4"/>
    <col min="3059" max="3059" width="12.7109375" style="4" bestFit="1" customWidth="1"/>
    <col min="3060" max="3062" width="11.42578125" style="4"/>
    <col min="3063" max="3064" width="11.7109375" style="4" bestFit="1" customWidth="1"/>
    <col min="3065" max="3314" width="11.42578125" style="4"/>
    <col min="3315" max="3315" width="12.7109375" style="4" bestFit="1" customWidth="1"/>
    <col min="3316" max="3318" width="11.42578125" style="4"/>
    <col min="3319" max="3320" width="11.7109375" style="4" bestFit="1" customWidth="1"/>
    <col min="3321" max="3570" width="11.42578125" style="4"/>
    <col min="3571" max="3571" width="12.7109375" style="4" bestFit="1" customWidth="1"/>
    <col min="3572" max="3574" width="11.42578125" style="4"/>
    <col min="3575" max="3576" width="11.7109375" style="4" bestFit="1" customWidth="1"/>
    <col min="3577" max="3826" width="11.42578125" style="4"/>
    <col min="3827" max="3827" width="12.7109375" style="4" bestFit="1" customWidth="1"/>
    <col min="3828" max="3830" width="11.42578125" style="4"/>
    <col min="3831" max="3832" width="11.7109375" style="4" bestFit="1" customWidth="1"/>
    <col min="3833" max="4082" width="11.42578125" style="4"/>
    <col min="4083" max="4083" width="12.7109375" style="4" bestFit="1" customWidth="1"/>
    <col min="4084" max="4086" width="11.42578125" style="4"/>
    <col min="4087" max="4088" width="11.7109375" style="4" bestFit="1" customWidth="1"/>
    <col min="4089" max="4338" width="11.42578125" style="4"/>
    <col min="4339" max="4339" width="12.7109375" style="4" bestFit="1" customWidth="1"/>
    <col min="4340" max="4342" width="11.42578125" style="4"/>
    <col min="4343" max="4344" width="11.7109375" style="4" bestFit="1" customWidth="1"/>
    <col min="4345" max="4594" width="11.42578125" style="4"/>
    <col min="4595" max="4595" width="12.7109375" style="4" bestFit="1" customWidth="1"/>
    <col min="4596" max="4598" width="11.42578125" style="4"/>
    <col min="4599" max="4600" width="11.7109375" style="4" bestFit="1" customWidth="1"/>
    <col min="4601" max="4850" width="11.42578125" style="4"/>
    <col min="4851" max="4851" width="12.7109375" style="4" bestFit="1" customWidth="1"/>
    <col min="4852" max="4854" width="11.42578125" style="4"/>
    <col min="4855" max="4856" width="11.7109375" style="4" bestFit="1" customWidth="1"/>
    <col min="4857" max="5106" width="11.42578125" style="4"/>
    <col min="5107" max="5107" width="12.7109375" style="4" bestFit="1" customWidth="1"/>
    <col min="5108" max="5110" width="11.42578125" style="4"/>
    <col min="5111" max="5112" width="11.7109375" style="4" bestFit="1" customWidth="1"/>
    <col min="5113" max="5362" width="11.42578125" style="4"/>
    <col min="5363" max="5363" width="12.7109375" style="4" bestFit="1" customWidth="1"/>
    <col min="5364" max="5366" width="11.42578125" style="4"/>
    <col min="5367" max="5368" width="11.7109375" style="4" bestFit="1" customWidth="1"/>
    <col min="5369" max="5618" width="11.42578125" style="4"/>
    <col min="5619" max="5619" width="12.7109375" style="4" bestFit="1" customWidth="1"/>
    <col min="5620" max="5622" width="11.42578125" style="4"/>
    <col min="5623" max="5624" width="11.7109375" style="4" bestFit="1" customWidth="1"/>
    <col min="5625" max="5874" width="11.42578125" style="4"/>
    <col min="5875" max="5875" width="12.7109375" style="4" bestFit="1" customWidth="1"/>
    <col min="5876" max="5878" width="11.42578125" style="4"/>
    <col min="5879" max="5880" width="11.7109375" style="4" bestFit="1" customWidth="1"/>
    <col min="5881" max="6130" width="11.42578125" style="4"/>
    <col min="6131" max="6131" width="12.7109375" style="4" bestFit="1" customWidth="1"/>
    <col min="6132" max="6134" width="11.42578125" style="4"/>
    <col min="6135" max="6136" width="11.7109375" style="4" bestFit="1" customWidth="1"/>
    <col min="6137" max="6386" width="11.42578125" style="4"/>
    <col min="6387" max="6387" width="12.7109375" style="4" bestFit="1" customWidth="1"/>
    <col min="6388" max="6390" width="11.42578125" style="4"/>
    <col min="6391" max="6392" width="11.7109375" style="4" bestFit="1" customWidth="1"/>
    <col min="6393" max="6642" width="11.42578125" style="4"/>
    <col min="6643" max="6643" width="12.7109375" style="4" bestFit="1" customWidth="1"/>
    <col min="6644" max="6646" width="11.42578125" style="4"/>
    <col min="6647" max="6648" width="11.7109375" style="4" bestFit="1" customWidth="1"/>
    <col min="6649" max="6898" width="11.42578125" style="4"/>
    <col min="6899" max="6899" width="12.7109375" style="4" bestFit="1" customWidth="1"/>
    <col min="6900" max="6902" width="11.42578125" style="4"/>
    <col min="6903" max="6904" width="11.7109375" style="4" bestFit="1" customWidth="1"/>
    <col min="6905" max="7154" width="11.42578125" style="4"/>
    <col min="7155" max="7155" width="12.7109375" style="4" bestFit="1" customWidth="1"/>
    <col min="7156" max="7158" width="11.42578125" style="4"/>
    <col min="7159" max="7160" width="11.7109375" style="4" bestFit="1" customWidth="1"/>
    <col min="7161" max="7410" width="11.42578125" style="4"/>
    <col min="7411" max="7411" width="12.7109375" style="4" bestFit="1" customWidth="1"/>
    <col min="7412" max="7414" width="11.42578125" style="4"/>
    <col min="7415" max="7416" width="11.7109375" style="4" bestFit="1" customWidth="1"/>
    <col min="7417" max="7666" width="11.42578125" style="4"/>
    <col min="7667" max="7667" width="12.7109375" style="4" bestFit="1" customWidth="1"/>
    <col min="7668" max="7670" width="11.42578125" style="4"/>
    <col min="7671" max="7672" width="11.7109375" style="4" bestFit="1" customWidth="1"/>
    <col min="7673" max="7922" width="11.42578125" style="4"/>
    <col min="7923" max="7923" width="12.7109375" style="4" bestFit="1" customWidth="1"/>
    <col min="7924" max="7926" width="11.42578125" style="4"/>
    <col min="7927" max="7928" width="11.7109375" style="4" bestFit="1" customWidth="1"/>
    <col min="7929" max="8178" width="11.42578125" style="4"/>
    <col min="8179" max="8179" width="12.7109375" style="4" bestFit="1" customWidth="1"/>
    <col min="8180" max="8182" width="11.42578125" style="4"/>
    <col min="8183" max="8184" width="11.7109375" style="4" bestFit="1" customWidth="1"/>
    <col min="8185" max="8434" width="11.42578125" style="4"/>
    <col min="8435" max="8435" width="12.7109375" style="4" bestFit="1" customWidth="1"/>
    <col min="8436" max="8438" width="11.42578125" style="4"/>
    <col min="8439" max="8440" width="11.7109375" style="4" bestFit="1" customWidth="1"/>
    <col min="8441" max="8690" width="11.42578125" style="4"/>
    <col min="8691" max="8691" width="12.7109375" style="4" bestFit="1" customWidth="1"/>
    <col min="8692" max="8694" width="11.42578125" style="4"/>
    <col min="8695" max="8696" width="11.7109375" style="4" bestFit="1" customWidth="1"/>
    <col min="8697" max="8946" width="11.42578125" style="4"/>
    <col min="8947" max="8947" width="12.7109375" style="4" bestFit="1" customWidth="1"/>
    <col min="8948" max="8950" width="11.42578125" style="4"/>
    <col min="8951" max="8952" width="11.7109375" style="4" bestFit="1" customWidth="1"/>
    <col min="8953" max="9202" width="11.42578125" style="4"/>
    <col min="9203" max="9203" width="12.7109375" style="4" bestFit="1" customWidth="1"/>
    <col min="9204" max="9206" width="11.42578125" style="4"/>
    <col min="9207" max="9208" width="11.7109375" style="4" bestFit="1" customWidth="1"/>
    <col min="9209" max="9458" width="11.42578125" style="4"/>
    <col min="9459" max="9459" width="12.7109375" style="4" bestFit="1" customWidth="1"/>
    <col min="9460" max="9462" width="11.42578125" style="4"/>
    <col min="9463" max="9464" width="11.7109375" style="4" bestFit="1" customWidth="1"/>
    <col min="9465" max="9714" width="11.42578125" style="4"/>
    <col min="9715" max="9715" width="12.7109375" style="4" bestFit="1" customWidth="1"/>
    <col min="9716" max="9718" width="11.42578125" style="4"/>
    <col min="9719" max="9720" width="11.7109375" style="4" bestFit="1" customWidth="1"/>
    <col min="9721" max="9970" width="11.42578125" style="4"/>
    <col min="9971" max="9971" width="12.7109375" style="4" bestFit="1" customWidth="1"/>
    <col min="9972" max="9974" width="11.42578125" style="4"/>
    <col min="9975" max="9976" width="11.7109375" style="4" bestFit="1" customWidth="1"/>
    <col min="9977" max="10226" width="11.42578125" style="4"/>
    <col min="10227" max="10227" width="12.7109375" style="4" bestFit="1" customWidth="1"/>
    <col min="10228" max="10230" width="11.42578125" style="4"/>
    <col min="10231" max="10232" width="11.7109375" style="4" bestFit="1" customWidth="1"/>
    <col min="10233" max="10482" width="11.42578125" style="4"/>
    <col min="10483" max="10483" width="12.7109375" style="4" bestFit="1" customWidth="1"/>
    <col min="10484" max="10486" width="11.42578125" style="4"/>
    <col min="10487" max="10488" width="11.7109375" style="4" bestFit="1" customWidth="1"/>
    <col min="10489" max="10738" width="11.42578125" style="4"/>
    <col min="10739" max="10739" width="12.7109375" style="4" bestFit="1" customWidth="1"/>
    <col min="10740" max="10742" width="11.42578125" style="4"/>
    <col min="10743" max="10744" width="11.7109375" style="4" bestFit="1" customWidth="1"/>
    <col min="10745" max="10994" width="11.42578125" style="4"/>
    <col min="10995" max="10995" width="12.7109375" style="4" bestFit="1" customWidth="1"/>
    <col min="10996" max="10998" width="11.42578125" style="4"/>
    <col min="10999" max="11000" width="11.7109375" style="4" bestFit="1" customWidth="1"/>
    <col min="11001" max="11250" width="11.42578125" style="4"/>
    <col min="11251" max="11251" width="12.7109375" style="4" bestFit="1" customWidth="1"/>
    <col min="11252" max="11254" width="11.42578125" style="4"/>
    <col min="11255" max="11256" width="11.7109375" style="4" bestFit="1" customWidth="1"/>
    <col min="11257" max="11506" width="11.42578125" style="4"/>
    <col min="11507" max="11507" width="12.7109375" style="4" bestFit="1" customWidth="1"/>
    <col min="11508" max="11510" width="11.42578125" style="4"/>
    <col min="11511" max="11512" width="11.7109375" style="4" bestFit="1" customWidth="1"/>
    <col min="11513" max="11762" width="11.42578125" style="4"/>
    <col min="11763" max="11763" width="12.7109375" style="4" bestFit="1" customWidth="1"/>
    <col min="11764" max="11766" width="11.42578125" style="4"/>
    <col min="11767" max="11768" width="11.7109375" style="4" bestFit="1" customWidth="1"/>
    <col min="11769" max="12018" width="11.42578125" style="4"/>
    <col min="12019" max="12019" width="12.7109375" style="4" bestFit="1" customWidth="1"/>
    <col min="12020" max="12022" width="11.42578125" style="4"/>
    <col min="12023" max="12024" width="11.7109375" style="4" bestFit="1" customWidth="1"/>
    <col min="12025" max="12274" width="11.42578125" style="4"/>
    <col min="12275" max="12275" width="12.7109375" style="4" bestFit="1" customWidth="1"/>
    <col min="12276" max="12278" width="11.42578125" style="4"/>
    <col min="12279" max="12280" width="11.7109375" style="4" bestFit="1" customWidth="1"/>
    <col min="12281" max="12530" width="11.42578125" style="4"/>
    <col min="12531" max="12531" width="12.7109375" style="4" bestFit="1" customWidth="1"/>
    <col min="12532" max="12534" width="11.42578125" style="4"/>
    <col min="12535" max="12536" width="11.7109375" style="4" bestFit="1" customWidth="1"/>
    <col min="12537" max="12786" width="11.42578125" style="4"/>
    <col min="12787" max="12787" width="12.7109375" style="4" bestFit="1" customWidth="1"/>
    <col min="12788" max="12790" width="11.42578125" style="4"/>
    <col min="12791" max="12792" width="11.7109375" style="4" bestFit="1" customWidth="1"/>
    <col min="12793" max="13042" width="11.42578125" style="4"/>
    <col min="13043" max="13043" width="12.7109375" style="4" bestFit="1" customWidth="1"/>
    <col min="13044" max="13046" width="11.42578125" style="4"/>
    <col min="13047" max="13048" width="11.7109375" style="4" bestFit="1" customWidth="1"/>
    <col min="13049" max="13298" width="11.42578125" style="4"/>
    <col min="13299" max="13299" width="12.7109375" style="4" bestFit="1" customWidth="1"/>
    <col min="13300" max="13302" width="11.42578125" style="4"/>
    <col min="13303" max="13304" width="11.7109375" style="4" bestFit="1" customWidth="1"/>
    <col min="13305" max="13554" width="11.42578125" style="4"/>
    <col min="13555" max="13555" width="12.7109375" style="4" bestFit="1" customWidth="1"/>
    <col min="13556" max="13558" width="11.42578125" style="4"/>
    <col min="13559" max="13560" width="11.7109375" style="4" bestFit="1" customWidth="1"/>
    <col min="13561" max="13810" width="11.42578125" style="4"/>
    <col min="13811" max="13811" width="12.7109375" style="4" bestFit="1" customWidth="1"/>
    <col min="13812" max="13814" width="11.42578125" style="4"/>
    <col min="13815" max="13816" width="11.7109375" style="4" bestFit="1" customWidth="1"/>
    <col min="13817" max="14066" width="11.42578125" style="4"/>
    <col min="14067" max="14067" width="12.7109375" style="4" bestFit="1" customWidth="1"/>
    <col min="14068" max="14070" width="11.42578125" style="4"/>
    <col min="14071" max="14072" width="11.7109375" style="4" bestFit="1" customWidth="1"/>
    <col min="14073" max="14322" width="11.42578125" style="4"/>
    <col min="14323" max="14323" width="12.7109375" style="4" bestFit="1" customWidth="1"/>
    <col min="14324" max="14326" width="11.42578125" style="4"/>
    <col min="14327" max="14328" width="11.7109375" style="4" bestFit="1" customWidth="1"/>
    <col min="14329" max="14578" width="11.42578125" style="4"/>
    <col min="14579" max="14579" width="12.7109375" style="4" bestFit="1" customWidth="1"/>
    <col min="14580" max="14582" width="11.42578125" style="4"/>
    <col min="14583" max="14584" width="11.7109375" style="4" bestFit="1" customWidth="1"/>
    <col min="14585" max="14834" width="11.42578125" style="4"/>
    <col min="14835" max="14835" width="12.7109375" style="4" bestFit="1" customWidth="1"/>
    <col min="14836" max="14838" width="11.42578125" style="4"/>
    <col min="14839" max="14840" width="11.7109375" style="4" bestFit="1" customWidth="1"/>
    <col min="14841" max="15090" width="11.42578125" style="4"/>
    <col min="15091" max="15091" width="12.7109375" style="4" bestFit="1" customWidth="1"/>
    <col min="15092" max="15094" width="11.42578125" style="4"/>
    <col min="15095" max="15096" width="11.7109375" style="4" bestFit="1" customWidth="1"/>
    <col min="15097" max="15346" width="11.42578125" style="4"/>
    <col min="15347" max="15347" width="12.7109375" style="4" bestFit="1" customWidth="1"/>
    <col min="15348" max="15350" width="11.42578125" style="4"/>
    <col min="15351" max="15352" width="11.7109375" style="4" bestFit="1" customWidth="1"/>
    <col min="15353" max="15602" width="11.42578125" style="4"/>
    <col min="15603" max="15603" width="12.7109375" style="4" bestFit="1" customWidth="1"/>
    <col min="15604" max="15606" width="11.42578125" style="4"/>
    <col min="15607" max="15608" width="11.7109375" style="4" bestFit="1" customWidth="1"/>
    <col min="15609" max="15858" width="11.42578125" style="4"/>
    <col min="15859" max="15859" width="12.7109375" style="4" bestFit="1" customWidth="1"/>
    <col min="15860" max="15862" width="11.42578125" style="4"/>
    <col min="15863" max="15864" width="11.7109375" style="4" bestFit="1" customWidth="1"/>
    <col min="15865" max="16114" width="11.42578125" style="4"/>
    <col min="16115" max="16115" width="12.7109375" style="4" bestFit="1" customWidth="1"/>
    <col min="16116" max="16118" width="11.42578125" style="4"/>
    <col min="16119" max="16120" width="11.7109375" style="4" bestFit="1" customWidth="1"/>
    <col min="16121" max="16384" width="11.42578125" style="4"/>
  </cols>
  <sheetData>
    <row r="1" spans="1:27" x14ac:dyDescent="0.2">
      <c r="C1" s="29"/>
      <c r="D1" s="29"/>
      <c r="E1" s="29"/>
      <c r="F1" s="29"/>
      <c r="G1" s="29"/>
      <c r="H1" s="54"/>
      <c r="J1" s="54"/>
      <c r="L1" s="54"/>
      <c r="M1" s="56"/>
      <c r="N1" s="57"/>
      <c r="O1" s="54"/>
      <c r="P1" s="54"/>
      <c r="Q1" s="54"/>
      <c r="R1" s="54"/>
      <c r="S1" s="54"/>
      <c r="T1" s="54"/>
      <c r="U1" s="54"/>
      <c r="V1" s="54"/>
      <c r="W1" s="54"/>
      <c r="X1" s="41"/>
      <c r="Y1" s="41"/>
      <c r="Z1" s="41"/>
      <c r="AA1" s="41"/>
    </row>
    <row r="2" spans="1:27" ht="13.5" thickBot="1" x14ac:dyDescent="0.25">
      <c r="C2" s="29"/>
      <c r="D2" s="29"/>
      <c r="E2" s="29"/>
      <c r="F2" s="29"/>
      <c r="G2" s="29"/>
      <c r="H2" s="54"/>
      <c r="J2" s="54"/>
      <c r="L2" s="54"/>
      <c r="M2" s="56"/>
      <c r="N2" s="57"/>
      <c r="O2" s="54"/>
      <c r="P2" s="54"/>
      <c r="Q2" s="54"/>
      <c r="R2" s="54"/>
      <c r="S2" s="54"/>
      <c r="T2" s="54"/>
      <c r="U2" s="54"/>
      <c r="V2" s="54"/>
      <c r="W2" s="54"/>
      <c r="X2" s="41"/>
      <c r="Y2" s="41"/>
      <c r="Z2" s="41"/>
      <c r="AA2" s="41"/>
    </row>
    <row r="3" spans="1:27" ht="16.5" thickBot="1" x14ac:dyDescent="0.3">
      <c r="A3" s="29"/>
      <c r="B3" s="29"/>
      <c r="C3" s="231" t="s">
        <v>142</v>
      </c>
      <c r="D3" s="239">
        <v>0.9</v>
      </c>
      <c r="F3" s="379" t="s">
        <v>205</v>
      </c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8"/>
      <c r="U3" s="59"/>
      <c r="V3" s="54"/>
      <c r="W3" s="54"/>
      <c r="X3" s="41"/>
      <c r="Y3" s="41"/>
      <c r="Z3" s="41"/>
      <c r="AA3" s="41"/>
    </row>
    <row r="4" spans="1:27" ht="15.75" x14ac:dyDescent="0.25">
      <c r="A4" s="29"/>
      <c r="B4" s="29"/>
      <c r="C4" s="377"/>
      <c r="D4" s="378"/>
      <c r="F4" s="54" t="s">
        <v>206</v>
      </c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8"/>
      <c r="U4" s="59"/>
      <c r="V4" s="54"/>
      <c r="W4" s="54"/>
      <c r="X4" s="41"/>
      <c r="Y4" s="41"/>
      <c r="Z4" s="41"/>
      <c r="AA4" s="41"/>
    </row>
    <row r="5" spans="1:27" ht="16.5" thickBot="1" x14ac:dyDescent="0.3">
      <c r="A5" s="29"/>
      <c r="B5" s="29"/>
      <c r="C5" s="377"/>
      <c r="D5" s="378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8"/>
      <c r="U5" s="59"/>
      <c r="V5" s="54"/>
      <c r="W5" s="54"/>
      <c r="X5" s="41"/>
      <c r="Y5" s="41"/>
      <c r="Z5" s="41"/>
      <c r="AA5" s="41"/>
    </row>
    <row r="6" spans="1:27" ht="16.5" thickBot="1" x14ac:dyDescent="0.3">
      <c r="A6" s="29"/>
      <c r="B6" s="29"/>
      <c r="C6" s="231" t="s">
        <v>156</v>
      </c>
      <c r="D6" s="232"/>
      <c r="E6" s="232"/>
      <c r="F6" s="236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8"/>
      <c r="U6" s="59"/>
      <c r="V6" s="54"/>
      <c r="W6" s="54"/>
      <c r="X6" s="41"/>
      <c r="Y6" s="41"/>
      <c r="Z6" s="41"/>
      <c r="AA6" s="41"/>
    </row>
    <row r="7" spans="1:27" ht="15.75" thickBot="1" x14ac:dyDescent="0.3">
      <c r="A7" s="29"/>
      <c r="B7" s="29"/>
      <c r="G7" s="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8"/>
      <c r="U7" s="59"/>
      <c r="V7" s="54"/>
      <c r="W7" s="54"/>
      <c r="X7" s="41"/>
      <c r="Y7" s="41"/>
      <c r="Z7" s="41"/>
      <c r="AA7" s="41"/>
    </row>
    <row r="8" spans="1:27" ht="16.5" thickBot="1" x14ac:dyDescent="0.3">
      <c r="A8" s="29"/>
      <c r="B8" s="29"/>
      <c r="C8" s="12" t="s">
        <v>153</v>
      </c>
      <c r="D8" s="13">
        <v>30</v>
      </c>
      <c r="E8" s="234" t="s">
        <v>152</v>
      </c>
      <c r="G8" s="463" t="s">
        <v>122</v>
      </c>
      <c r="H8" s="123"/>
      <c r="I8" s="123"/>
      <c r="J8" s="54"/>
      <c r="K8" s="54"/>
      <c r="L8" s="54"/>
      <c r="M8" s="54"/>
      <c r="N8" s="54"/>
      <c r="O8" s="54"/>
      <c r="P8" s="54"/>
      <c r="Q8" s="54"/>
      <c r="R8" s="54"/>
      <c r="S8" s="54"/>
      <c r="T8" s="58"/>
      <c r="U8" s="59"/>
      <c r="V8" s="54"/>
      <c r="W8" s="54"/>
      <c r="X8" s="41"/>
      <c r="Y8" s="41"/>
      <c r="Z8" s="41"/>
      <c r="AA8" s="41"/>
    </row>
    <row r="9" spans="1:27" ht="15" x14ac:dyDescent="0.25">
      <c r="A9" s="29"/>
      <c r="B9" s="29"/>
      <c r="C9" s="237" t="s">
        <v>114</v>
      </c>
      <c r="D9" s="137">
        <v>24</v>
      </c>
      <c r="E9" s="238" t="s">
        <v>152</v>
      </c>
      <c r="G9" s="12" t="s">
        <v>113</v>
      </c>
      <c r="H9" s="384">
        <f>8*30</f>
        <v>240</v>
      </c>
      <c r="I9" s="169" t="s">
        <v>163</v>
      </c>
      <c r="J9" s="54"/>
      <c r="K9" s="54"/>
      <c r="L9" s="54"/>
      <c r="M9" s="54"/>
      <c r="N9" s="54"/>
      <c r="O9" s="54"/>
      <c r="P9" s="54"/>
      <c r="Q9" s="54"/>
      <c r="R9" s="54"/>
      <c r="S9" s="54"/>
      <c r="T9" s="58"/>
      <c r="U9" s="59"/>
      <c r="V9" s="54"/>
      <c r="W9" s="54"/>
      <c r="X9" s="41"/>
      <c r="Y9" s="41"/>
      <c r="Z9" s="41"/>
      <c r="AA9" s="41"/>
    </row>
    <row r="10" spans="1:27" ht="15.75" thickBot="1" x14ac:dyDescent="0.3">
      <c r="A10" s="29"/>
      <c r="B10" s="29"/>
      <c r="C10" s="233" t="s">
        <v>113</v>
      </c>
      <c r="D10" s="15">
        <v>36</v>
      </c>
      <c r="E10" s="235" t="s">
        <v>152</v>
      </c>
      <c r="G10" s="325" t="s">
        <v>114</v>
      </c>
      <c r="H10" s="464">
        <v>120</v>
      </c>
      <c r="I10" s="235" t="s">
        <v>163</v>
      </c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8"/>
      <c r="U10" s="59"/>
      <c r="V10" s="54"/>
      <c r="W10" s="54"/>
      <c r="X10" s="41"/>
      <c r="Y10" s="41"/>
      <c r="Z10" s="41"/>
      <c r="AA10" s="41"/>
    </row>
    <row r="11" spans="1:27" x14ac:dyDescent="0.2">
      <c r="A11" s="29"/>
      <c r="B11" s="29"/>
      <c r="C11" s="29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41"/>
      <c r="Y11" s="41"/>
      <c r="Z11" s="41"/>
      <c r="AA11" s="41"/>
    </row>
    <row r="12" spans="1:27" x14ac:dyDescent="0.2">
      <c r="A12" s="29"/>
      <c r="B12" s="29"/>
      <c r="C12" s="29"/>
      <c r="D12" s="29"/>
      <c r="E12" s="29"/>
      <c r="F12" s="54"/>
      <c r="G12" s="54"/>
      <c r="H12" s="54"/>
      <c r="I12" s="54"/>
      <c r="J12" s="54"/>
      <c r="K12" s="54"/>
      <c r="L12" s="54"/>
      <c r="M12" s="54"/>
      <c r="N12" s="60"/>
      <c r="O12" s="61"/>
      <c r="P12" s="54"/>
      <c r="Q12" s="54"/>
      <c r="R12" s="54"/>
      <c r="S12" s="54"/>
      <c r="T12" s="54"/>
      <c r="U12" s="62"/>
      <c r="V12" s="62"/>
      <c r="W12" s="63"/>
      <c r="X12" s="41"/>
      <c r="Y12" s="41"/>
      <c r="Z12" s="41"/>
      <c r="AA12" s="41"/>
    </row>
    <row r="13" spans="1:27" ht="15" x14ac:dyDescent="0.25">
      <c r="F13" s="41"/>
      <c r="G13" s="65"/>
      <c r="H13" s="41"/>
      <c r="I13" s="64"/>
      <c r="J13" s="64"/>
      <c r="K13" s="64"/>
      <c r="L13" s="41"/>
      <c r="M13" s="66"/>
      <c r="N13" s="67"/>
      <c r="O13" s="66"/>
      <c r="P13" s="41"/>
      <c r="Q13" s="41"/>
      <c r="R13" s="68"/>
      <c r="S13" s="41"/>
      <c r="T13" s="41"/>
      <c r="U13" s="41"/>
      <c r="V13" s="41"/>
      <c r="W13" s="41"/>
      <c r="X13" s="41"/>
      <c r="Y13" s="41"/>
      <c r="Z13" s="41"/>
      <c r="AA13" s="41"/>
    </row>
    <row r="15" spans="1:27" ht="13.5" thickBot="1" x14ac:dyDescent="0.25"/>
    <row r="16" spans="1:27" ht="16.5" thickBot="1" x14ac:dyDescent="0.3">
      <c r="C16" s="334" t="s">
        <v>207</v>
      </c>
      <c r="D16" s="380">
        <v>7000</v>
      </c>
      <c r="E16" s="381" t="s">
        <v>112</v>
      </c>
      <c r="H16" s="410"/>
      <c r="I16" s="410"/>
      <c r="K16" s="411"/>
      <c r="L16" s="411"/>
    </row>
    <row r="17" spans="3:12" ht="22.5" customHeight="1" x14ac:dyDescent="0.2">
      <c r="C17" s="4" t="s">
        <v>214</v>
      </c>
      <c r="K17" s="411"/>
      <c r="L17" s="411"/>
    </row>
    <row r="18" spans="3:12" ht="22.5" customHeight="1" x14ac:dyDescent="0.2">
      <c r="C18" s="4" t="s">
        <v>215</v>
      </c>
      <c r="K18" s="411"/>
      <c r="L18" s="411"/>
    </row>
    <row r="19" spans="3:12" ht="24" customHeight="1" x14ac:dyDescent="0.2">
      <c r="C19" s="4" t="s">
        <v>317</v>
      </c>
      <c r="K19" s="411"/>
      <c r="L19" s="411"/>
    </row>
    <row r="20" spans="3:12" x14ac:dyDescent="0.2">
      <c r="K20" s="411"/>
      <c r="L20" s="411"/>
    </row>
    <row r="21" spans="3:12" x14ac:dyDescent="0.2">
      <c r="K21" s="411"/>
      <c r="L21" s="41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"/>
  <dimension ref="A1:X109"/>
  <sheetViews>
    <sheetView topLeftCell="A82" zoomScale="85" zoomScaleNormal="85" workbookViewId="0">
      <selection activeCell="A84" sqref="A84:K105"/>
    </sheetView>
  </sheetViews>
  <sheetFormatPr baseColWidth="10" defaultRowHeight="12.75" x14ac:dyDescent="0.2"/>
  <cols>
    <col min="1" max="1" width="8" style="4" customWidth="1"/>
    <col min="2" max="2" width="14.42578125" style="4" customWidth="1"/>
    <col min="3" max="3" width="18" style="4" customWidth="1"/>
    <col min="4" max="4" width="27.42578125" style="4" customWidth="1"/>
    <col min="5" max="5" width="17.5703125" style="4" customWidth="1"/>
    <col min="6" max="6" width="23.5703125" style="4" customWidth="1"/>
    <col min="7" max="7" width="21.28515625" style="5" customWidth="1"/>
    <col min="8" max="8" width="21.85546875" style="5" bestFit="1" customWidth="1"/>
    <col min="9" max="9" width="14.5703125" style="5" bestFit="1" customWidth="1"/>
    <col min="10" max="10" width="23.42578125" style="4" customWidth="1"/>
    <col min="11" max="11" width="21.28515625" style="4" customWidth="1"/>
    <col min="12" max="12" width="17.42578125" style="4" bestFit="1" customWidth="1"/>
    <col min="13" max="13" width="11.42578125" style="4"/>
    <col min="14" max="14" width="17" style="4" customWidth="1"/>
    <col min="15" max="15" width="30.5703125" style="4" bestFit="1" customWidth="1"/>
    <col min="16" max="16" width="12.7109375" style="4" customWidth="1"/>
    <col min="17" max="18" width="11.42578125" style="4"/>
    <col min="19" max="19" width="14.5703125" style="4" bestFit="1" customWidth="1"/>
    <col min="20" max="21" width="16.42578125" style="4" bestFit="1" customWidth="1"/>
    <col min="22" max="22" width="14.85546875" style="4" customWidth="1"/>
    <col min="23" max="242" width="11.42578125" style="4"/>
    <col min="243" max="243" width="12.7109375" style="4" bestFit="1" customWidth="1"/>
    <col min="244" max="246" width="11.42578125" style="4"/>
    <col min="247" max="248" width="11.7109375" style="4" bestFit="1" customWidth="1"/>
    <col min="249" max="498" width="11.42578125" style="4"/>
    <col min="499" max="499" width="12.7109375" style="4" bestFit="1" customWidth="1"/>
    <col min="500" max="502" width="11.42578125" style="4"/>
    <col min="503" max="504" width="11.7109375" style="4" bestFit="1" customWidth="1"/>
    <col min="505" max="754" width="11.42578125" style="4"/>
    <col min="755" max="755" width="12.7109375" style="4" bestFit="1" customWidth="1"/>
    <col min="756" max="758" width="11.42578125" style="4"/>
    <col min="759" max="760" width="11.7109375" style="4" bestFit="1" customWidth="1"/>
    <col min="761" max="1010" width="11.42578125" style="4"/>
    <col min="1011" max="1011" width="12.7109375" style="4" bestFit="1" customWidth="1"/>
    <col min="1012" max="1014" width="11.42578125" style="4"/>
    <col min="1015" max="1016" width="11.7109375" style="4" bestFit="1" customWidth="1"/>
    <col min="1017" max="1266" width="11.42578125" style="4"/>
    <col min="1267" max="1267" width="12.7109375" style="4" bestFit="1" customWidth="1"/>
    <col min="1268" max="1270" width="11.42578125" style="4"/>
    <col min="1271" max="1272" width="11.7109375" style="4" bestFit="1" customWidth="1"/>
    <col min="1273" max="1522" width="11.42578125" style="4"/>
    <col min="1523" max="1523" width="12.7109375" style="4" bestFit="1" customWidth="1"/>
    <col min="1524" max="1526" width="11.42578125" style="4"/>
    <col min="1527" max="1528" width="11.7109375" style="4" bestFit="1" customWidth="1"/>
    <col min="1529" max="1778" width="11.42578125" style="4"/>
    <col min="1779" max="1779" width="12.7109375" style="4" bestFit="1" customWidth="1"/>
    <col min="1780" max="1782" width="11.42578125" style="4"/>
    <col min="1783" max="1784" width="11.7109375" style="4" bestFit="1" customWidth="1"/>
    <col min="1785" max="2034" width="11.42578125" style="4"/>
    <col min="2035" max="2035" width="12.7109375" style="4" bestFit="1" customWidth="1"/>
    <col min="2036" max="2038" width="11.42578125" style="4"/>
    <col min="2039" max="2040" width="11.7109375" style="4" bestFit="1" customWidth="1"/>
    <col min="2041" max="2290" width="11.42578125" style="4"/>
    <col min="2291" max="2291" width="12.7109375" style="4" bestFit="1" customWidth="1"/>
    <col min="2292" max="2294" width="11.42578125" style="4"/>
    <col min="2295" max="2296" width="11.7109375" style="4" bestFit="1" customWidth="1"/>
    <col min="2297" max="2546" width="11.42578125" style="4"/>
    <col min="2547" max="2547" width="12.7109375" style="4" bestFit="1" customWidth="1"/>
    <col min="2548" max="2550" width="11.42578125" style="4"/>
    <col min="2551" max="2552" width="11.7109375" style="4" bestFit="1" customWidth="1"/>
    <col min="2553" max="2802" width="11.42578125" style="4"/>
    <col min="2803" max="2803" width="12.7109375" style="4" bestFit="1" customWidth="1"/>
    <col min="2804" max="2806" width="11.42578125" style="4"/>
    <col min="2807" max="2808" width="11.7109375" style="4" bestFit="1" customWidth="1"/>
    <col min="2809" max="3058" width="11.42578125" style="4"/>
    <col min="3059" max="3059" width="12.7109375" style="4" bestFit="1" customWidth="1"/>
    <col min="3060" max="3062" width="11.42578125" style="4"/>
    <col min="3063" max="3064" width="11.7109375" style="4" bestFit="1" customWidth="1"/>
    <col min="3065" max="3314" width="11.42578125" style="4"/>
    <col min="3315" max="3315" width="12.7109375" style="4" bestFit="1" customWidth="1"/>
    <col min="3316" max="3318" width="11.42578125" style="4"/>
    <col min="3319" max="3320" width="11.7109375" style="4" bestFit="1" customWidth="1"/>
    <col min="3321" max="3570" width="11.42578125" style="4"/>
    <col min="3571" max="3571" width="12.7109375" style="4" bestFit="1" customWidth="1"/>
    <col min="3572" max="3574" width="11.42578125" style="4"/>
    <col min="3575" max="3576" width="11.7109375" style="4" bestFit="1" customWidth="1"/>
    <col min="3577" max="3826" width="11.42578125" style="4"/>
    <col min="3827" max="3827" width="12.7109375" style="4" bestFit="1" customWidth="1"/>
    <col min="3828" max="3830" width="11.42578125" style="4"/>
    <col min="3831" max="3832" width="11.7109375" style="4" bestFit="1" customWidth="1"/>
    <col min="3833" max="4082" width="11.42578125" style="4"/>
    <col min="4083" max="4083" width="12.7109375" style="4" bestFit="1" customWidth="1"/>
    <col min="4084" max="4086" width="11.42578125" style="4"/>
    <col min="4087" max="4088" width="11.7109375" style="4" bestFit="1" customWidth="1"/>
    <col min="4089" max="4338" width="11.42578125" style="4"/>
    <col min="4339" max="4339" width="12.7109375" style="4" bestFit="1" customWidth="1"/>
    <col min="4340" max="4342" width="11.42578125" style="4"/>
    <col min="4343" max="4344" width="11.7109375" style="4" bestFit="1" customWidth="1"/>
    <col min="4345" max="4594" width="11.42578125" style="4"/>
    <col min="4595" max="4595" width="12.7109375" style="4" bestFit="1" customWidth="1"/>
    <col min="4596" max="4598" width="11.42578125" style="4"/>
    <col min="4599" max="4600" width="11.7109375" style="4" bestFit="1" customWidth="1"/>
    <col min="4601" max="4850" width="11.42578125" style="4"/>
    <col min="4851" max="4851" width="12.7109375" style="4" bestFit="1" customWidth="1"/>
    <col min="4852" max="4854" width="11.42578125" style="4"/>
    <col min="4855" max="4856" width="11.7109375" style="4" bestFit="1" customWidth="1"/>
    <col min="4857" max="5106" width="11.42578125" style="4"/>
    <col min="5107" max="5107" width="12.7109375" style="4" bestFit="1" customWidth="1"/>
    <col min="5108" max="5110" width="11.42578125" style="4"/>
    <col min="5111" max="5112" width="11.7109375" style="4" bestFit="1" customWidth="1"/>
    <col min="5113" max="5362" width="11.42578125" style="4"/>
    <col min="5363" max="5363" width="12.7109375" style="4" bestFit="1" customWidth="1"/>
    <col min="5364" max="5366" width="11.42578125" style="4"/>
    <col min="5367" max="5368" width="11.7109375" style="4" bestFit="1" customWidth="1"/>
    <col min="5369" max="5618" width="11.42578125" style="4"/>
    <col min="5619" max="5619" width="12.7109375" style="4" bestFit="1" customWidth="1"/>
    <col min="5620" max="5622" width="11.42578125" style="4"/>
    <col min="5623" max="5624" width="11.7109375" style="4" bestFit="1" customWidth="1"/>
    <col min="5625" max="5874" width="11.42578125" style="4"/>
    <col min="5875" max="5875" width="12.7109375" style="4" bestFit="1" customWidth="1"/>
    <col min="5876" max="5878" width="11.42578125" style="4"/>
    <col min="5879" max="5880" width="11.7109375" style="4" bestFit="1" customWidth="1"/>
    <col min="5881" max="6130" width="11.42578125" style="4"/>
    <col min="6131" max="6131" width="12.7109375" style="4" bestFit="1" customWidth="1"/>
    <col min="6132" max="6134" width="11.42578125" style="4"/>
    <col min="6135" max="6136" width="11.7109375" style="4" bestFit="1" customWidth="1"/>
    <col min="6137" max="6386" width="11.42578125" style="4"/>
    <col min="6387" max="6387" width="12.7109375" style="4" bestFit="1" customWidth="1"/>
    <col min="6388" max="6390" width="11.42578125" style="4"/>
    <col min="6391" max="6392" width="11.7109375" style="4" bestFit="1" customWidth="1"/>
    <col min="6393" max="6642" width="11.42578125" style="4"/>
    <col min="6643" max="6643" width="12.7109375" style="4" bestFit="1" customWidth="1"/>
    <col min="6644" max="6646" width="11.42578125" style="4"/>
    <col min="6647" max="6648" width="11.7109375" style="4" bestFit="1" customWidth="1"/>
    <col min="6649" max="6898" width="11.42578125" style="4"/>
    <col min="6899" max="6899" width="12.7109375" style="4" bestFit="1" customWidth="1"/>
    <col min="6900" max="6902" width="11.42578125" style="4"/>
    <col min="6903" max="6904" width="11.7109375" style="4" bestFit="1" customWidth="1"/>
    <col min="6905" max="7154" width="11.42578125" style="4"/>
    <col min="7155" max="7155" width="12.7109375" style="4" bestFit="1" customWidth="1"/>
    <col min="7156" max="7158" width="11.42578125" style="4"/>
    <col min="7159" max="7160" width="11.7109375" style="4" bestFit="1" customWidth="1"/>
    <col min="7161" max="7410" width="11.42578125" style="4"/>
    <col min="7411" max="7411" width="12.7109375" style="4" bestFit="1" customWidth="1"/>
    <col min="7412" max="7414" width="11.42578125" style="4"/>
    <col min="7415" max="7416" width="11.7109375" style="4" bestFit="1" customWidth="1"/>
    <col min="7417" max="7666" width="11.42578125" style="4"/>
    <col min="7667" max="7667" width="12.7109375" style="4" bestFit="1" customWidth="1"/>
    <col min="7668" max="7670" width="11.42578125" style="4"/>
    <col min="7671" max="7672" width="11.7109375" style="4" bestFit="1" customWidth="1"/>
    <col min="7673" max="7922" width="11.42578125" style="4"/>
    <col min="7923" max="7923" width="12.7109375" style="4" bestFit="1" customWidth="1"/>
    <col min="7924" max="7926" width="11.42578125" style="4"/>
    <col min="7927" max="7928" width="11.7109375" style="4" bestFit="1" customWidth="1"/>
    <col min="7929" max="8178" width="11.42578125" style="4"/>
    <col min="8179" max="8179" width="12.7109375" style="4" bestFit="1" customWidth="1"/>
    <col min="8180" max="8182" width="11.42578125" style="4"/>
    <col min="8183" max="8184" width="11.7109375" style="4" bestFit="1" customWidth="1"/>
    <col min="8185" max="8434" width="11.42578125" style="4"/>
    <col min="8435" max="8435" width="12.7109375" style="4" bestFit="1" customWidth="1"/>
    <col min="8436" max="8438" width="11.42578125" style="4"/>
    <col min="8439" max="8440" width="11.7109375" style="4" bestFit="1" customWidth="1"/>
    <col min="8441" max="8690" width="11.42578125" style="4"/>
    <col min="8691" max="8691" width="12.7109375" style="4" bestFit="1" customWidth="1"/>
    <col min="8692" max="8694" width="11.42578125" style="4"/>
    <col min="8695" max="8696" width="11.7109375" style="4" bestFit="1" customWidth="1"/>
    <col min="8697" max="8946" width="11.42578125" style="4"/>
    <col min="8947" max="8947" width="12.7109375" style="4" bestFit="1" customWidth="1"/>
    <col min="8948" max="8950" width="11.42578125" style="4"/>
    <col min="8951" max="8952" width="11.7109375" style="4" bestFit="1" customWidth="1"/>
    <col min="8953" max="9202" width="11.42578125" style="4"/>
    <col min="9203" max="9203" width="12.7109375" style="4" bestFit="1" customWidth="1"/>
    <col min="9204" max="9206" width="11.42578125" style="4"/>
    <col min="9207" max="9208" width="11.7109375" style="4" bestFit="1" customWidth="1"/>
    <col min="9209" max="9458" width="11.42578125" style="4"/>
    <col min="9459" max="9459" width="12.7109375" style="4" bestFit="1" customWidth="1"/>
    <col min="9460" max="9462" width="11.42578125" style="4"/>
    <col min="9463" max="9464" width="11.7109375" style="4" bestFit="1" customWidth="1"/>
    <col min="9465" max="9714" width="11.42578125" style="4"/>
    <col min="9715" max="9715" width="12.7109375" style="4" bestFit="1" customWidth="1"/>
    <col min="9716" max="9718" width="11.42578125" style="4"/>
    <col min="9719" max="9720" width="11.7109375" style="4" bestFit="1" customWidth="1"/>
    <col min="9721" max="9970" width="11.42578125" style="4"/>
    <col min="9971" max="9971" width="12.7109375" style="4" bestFit="1" customWidth="1"/>
    <col min="9972" max="9974" width="11.42578125" style="4"/>
    <col min="9975" max="9976" width="11.7109375" style="4" bestFit="1" customWidth="1"/>
    <col min="9977" max="10226" width="11.42578125" style="4"/>
    <col min="10227" max="10227" width="12.7109375" style="4" bestFit="1" customWidth="1"/>
    <col min="10228" max="10230" width="11.42578125" style="4"/>
    <col min="10231" max="10232" width="11.7109375" style="4" bestFit="1" customWidth="1"/>
    <col min="10233" max="10482" width="11.42578125" style="4"/>
    <col min="10483" max="10483" width="12.7109375" style="4" bestFit="1" customWidth="1"/>
    <col min="10484" max="10486" width="11.42578125" style="4"/>
    <col min="10487" max="10488" width="11.7109375" style="4" bestFit="1" customWidth="1"/>
    <col min="10489" max="10738" width="11.42578125" style="4"/>
    <col min="10739" max="10739" width="12.7109375" style="4" bestFit="1" customWidth="1"/>
    <col min="10740" max="10742" width="11.42578125" style="4"/>
    <col min="10743" max="10744" width="11.7109375" style="4" bestFit="1" customWidth="1"/>
    <col min="10745" max="10994" width="11.42578125" style="4"/>
    <col min="10995" max="10995" width="12.7109375" style="4" bestFit="1" customWidth="1"/>
    <col min="10996" max="10998" width="11.42578125" style="4"/>
    <col min="10999" max="11000" width="11.7109375" style="4" bestFit="1" customWidth="1"/>
    <col min="11001" max="11250" width="11.42578125" style="4"/>
    <col min="11251" max="11251" width="12.7109375" style="4" bestFit="1" customWidth="1"/>
    <col min="11252" max="11254" width="11.42578125" style="4"/>
    <col min="11255" max="11256" width="11.7109375" style="4" bestFit="1" customWidth="1"/>
    <col min="11257" max="11506" width="11.42578125" style="4"/>
    <col min="11507" max="11507" width="12.7109375" style="4" bestFit="1" customWidth="1"/>
    <col min="11508" max="11510" width="11.42578125" style="4"/>
    <col min="11511" max="11512" width="11.7109375" style="4" bestFit="1" customWidth="1"/>
    <col min="11513" max="11762" width="11.42578125" style="4"/>
    <col min="11763" max="11763" width="12.7109375" style="4" bestFit="1" customWidth="1"/>
    <col min="11764" max="11766" width="11.42578125" style="4"/>
    <col min="11767" max="11768" width="11.7109375" style="4" bestFit="1" customWidth="1"/>
    <col min="11769" max="12018" width="11.42578125" style="4"/>
    <col min="12019" max="12019" width="12.7109375" style="4" bestFit="1" customWidth="1"/>
    <col min="12020" max="12022" width="11.42578125" style="4"/>
    <col min="12023" max="12024" width="11.7109375" style="4" bestFit="1" customWidth="1"/>
    <col min="12025" max="12274" width="11.42578125" style="4"/>
    <col min="12275" max="12275" width="12.7109375" style="4" bestFit="1" customWidth="1"/>
    <col min="12276" max="12278" width="11.42578125" style="4"/>
    <col min="12279" max="12280" width="11.7109375" style="4" bestFit="1" customWidth="1"/>
    <col min="12281" max="12530" width="11.42578125" style="4"/>
    <col min="12531" max="12531" width="12.7109375" style="4" bestFit="1" customWidth="1"/>
    <col min="12532" max="12534" width="11.42578125" style="4"/>
    <col min="12535" max="12536" width="11.7109375" style="4" bestFit="1" customWidth="1"/>
    <col min="12537" max="12786" width="11.42578125" style="4"/>
    <col min="12787" max="12787" width="12.7109375" style="4" bestFit="1" customWidth="1"/>
    <col min="12788" max="12790" width="11.42578125" style="4"/>
    <col min="12791" max="12792" width="11.7109375" style="4" bestFit="1" customWidth="1"/>
    <col min="12793" max="13042" width="11.42578125" style="4"/>
    <col min="13043" max="13043" width="12.7109375" style="4" bestFit="1" customWidth="1"/>
    <col min="13044" max="13046" width="11.42578125" style="4"/>
    <col min="13047" max="13048" width="11.7109375" style="4" bestFit="1" customWidth="1"/>
    <col min="13049" max="13298" width="11.42578125" style="4"/>
    <col min="13299" max="13299" width="12.7109375" style="4" bestFit="1" customWidth="1"/>
    <col min="13300" max="13302" width="11.42578125" style="4"/>
    <col min="13303" max="13304" width="11.7109375" style="4" bestFit="1" customWidth="1"/>
    <col min="13305" max="13554" width="11.42578125" style="4"/>
    <col min="13555" max="13555" width="12.7109375" style="4" bestFit="1" customWidth="1"/>
    <col min="13556" max="13558" width="11.42578125" style="4"/>
    <col min="13559" max="13560" width="11.7109375" style="4" bestFit="1" customWidth="1"/>
    <col min="13561" max="13810" width="11.42578125" style="4"/>
    <col min="13811" max="13811" width="12.7109375" style="4" bestFit="1" customWidth="1"/>
    <col min="13812" max="13814" width="11.42578125" style="4"/>
    <col min="13815" max="13816" width="11.7109375" style="4" bestFit="1" customWidth="1"/>
    <col min="13817" max="14066" width="11.42578125" style="4"/>
    <col min="14067" max="14067" width="12.7109375" style="4" bestFit="1" customWidth="1"/>
    <col min="14068" max="14070" width="11.42578125" style="4"/>
    <col min="14071" max="14072" width="11.7109375" style="4" bestFit="1" customWidth="1"/>
    <col min="14073" max="14322" width="11.42578125" style="4"/>
    <col min="14323" max="14323" width="12.7109375" style="4" bestFit="1" customWidth="1"/>
    <col min="14324" max="14326" width="11.42578125" style="4"/>
    <col min="14327" max="14328" width="11.7109375" style="4" bestFit="1" customWidth="1"/>
    <col min="14329" max="14578" width="11.42578125" style="4"/>
    <col min="14579" max="14579" width="12.7109375" style="4" bestFit="1" customWidth="1"/>
    <col min="14580" max="14582" width="11.42578125" style="4"/>
    <col min="14583" max="14584" width="11.7109375" style="4" bestFit="1" customWidth="1"/>
    <col min="14585" max="14834" width="11.42578125" style="4"/>
    <col min="14835" max="14835" width="12.7109375" style="4" bestFit="1" customWidth="1"/>
    <col min="14836" max="14838" width="11.42578125" style="4"/>
    <col min="14839" max="14840" width="11.7109375" style="4" bestFit="1" customWidth="1"/>
    <col min="14841" max="15090" width="11.42578125" style="4"/>
    <col min="15091" max="15091" width="12.7109375" style="4" bestFit="1" customWidth="1"/>
    <col min="15092" max="15094" width="11.42578125" style="4"/>
    <col min="15095" max="15096" width="11.7109375" style="4" bestFit="1" customWidth="1"/>
    <col min="15097" max="15346" width="11.42578125" style="4"/>
    <col min="15347" max="15347" width="12.7109375" style="4" bestFit="1" customWidth="1"/>
    <col min="15348" max="15350" width="11.42578125" style="4"/>
    <col min="15351" max="15352" width="11.7109375" style="4" bestFit="1" customWidth="1"/>
    <col min="15353" max="15602" width="11.42578125" style="4"/>
    <col min="15603" max="15603" width="12.7109375" style="4" bestFit="1" customWidth="1"/>
    <col min="15604" max="15606" width="11.42578125" style="4"/>
    <col min="15607" max="15608" width="11.7109375" style="4" bestFit="1" customWidth="1"/>
    <col min="15609" max="15858" width="11.42578125" style="4"/>
    <col min="15859" max="15859" width="12.7109375" style="4" bestFit="1" customWidth="1"/>
    <col min="15860" max="15862" width="11.42578125" style="4"/>
    <col min="15863" max="15864" width="11.7109375" style="4" bestFit="1" customWidth="1"/>
    <col min="15865" max="16114" width="11.42578125" style="4"/>
    <col min="16115" max="16115" width="12.7109375" style="4" bestFit="1" customWidth="1"/>
    <col min="16116" max="16118" width="11.42578125" style="4"/>
    <col min="16119" max="16120" width="11.7109375" style="4" bestFit="1" customWidth="1"/>
    <col min="16121" max="16384" width="11.42578125" style="4"/>
  </cols>
  <sheetData>
    <row r="1" spans="2:14" ht="13.5" thickBot="1" x14ac:dyDescent="0.25"/>
    <row r="2" spans="2:14" s="19" customFormat="1" ht="33.75" customHeight="1" thickBot="1" x14ac:dyDescent="0.25">
      <c r="B2" s="85" t="s">
        <v>282</v>
      </c>
      <c r="I2" s="85"/>
      <c r="J2" s="139" t="s">
        <v>210</v>
      </c>
      <c r="K2" s="281">
        <f>+F109</f>
        <v>1.3206509188163449</v>
      </c>
      <c r="N2" s="4"/>
    </row>
    <row r="3" spans="2:14" s="19" customFormat="1" ht="30" customHeight="1" thickBot="1" x14ac:dyDescent="0.3">
      <c r="K3" s="22"/>
      <c r="M3" s="22"/>
    </row>
    <row r="4" spans="2:14" s="19" customFormat="1" ht="30.75" customHeight="1" thickBot="1" x14ac:dyDescent="0.3">
      <c r="E4" s="141" t="s">
        <v>153</v>
      </c>
      <c r="F4" s="142" t="s">
        <v>157</v>
      </c>
      <c r="J4" s="472" t="s">
        <v>295</v>
      </c>
      <c r="K4" s="473" t="s">
        <v>155</v>
      </c>
      <c r="L4" s="22"/>
      <c r="M4" s="22"/>
    </row>
    <row r="5" spans="2:14" s="132" customFormat="1" ht="36.75" customHeight="1" thickBot="1" x14ac:dyDescent="0.25">
      <c r="D5" s="383" t="s">
        <v>158</v>
      </c>
      <c r="E5" s="189">
        <f>+'Parámetros Globales'!$D$8</f>
        <v>30</v>
      </c>
      <c r="F5" s="140">
        <v>30</v>
      </c>
      <c r="G5" s="340">
        <f>+F5-E5</f>
        <v>0</v>
      </c>
      <c r="H5" s="341" t="str">
        <f>+(IF(G5&gt;=0,"Meses Atraso","Meses Adelanto"))</f>
        <v>Meses Atraso</v>
      </c>
      <c r="J5" s="475" t="s">
        <v>294</v>
      </c>
      <c r="K5" s="474">
        <v>15</v>
      </c>
      <c r="L5" s="5"/>
      <c r="M5" s="5"/>
    </row>
    <row r="6" spans="2:14" s="19" customFormat="1" ht="33.75" customHeight="1" thickBot="1" x14ac:dyDescent="0.25">
      <c r="C6" s="4"/>
      <c r="D6" s="4"/>
      <c r="H6" s="4"/>
      <c r="J6" s="475" t="s">
        <v>296</v>
      </c>
      <c r="K6" s="478" t="s">
        <v>155</v>
      </c>
      <c r="L6" s="22"/>
      <c r="M6" s="22"/>
    </row>
    <row r="7" spans="2:14" s="19" customFormat="1" ht="33.75" customHeight="1" thickBot="1" x14ac:dyDescent="0.3">
      <c r="C7" s="4"/>
      <c r="D7" s="4"/>
      <c r="E7" s="459" t="s">
        <v>280</v>
      </c>
      <c r="F7" s="459" t="s">
        <v>281</v>
      </c>
      <c r="H7" s="4"/>
      <c r="J7" s="476"/>
      <c r="K7" s="477"/>
      <c r="L7" s="22"/>
      <c r="M7" s="22"/>
    </row>
    <row r="8" spans="2:14" s="19" customFormat="1" ht="15.75" customHeight="1" thickBot="1" x14ac:dyDescent="0.3">
      <c r="B8" s="20"/>
      <c r="D8" s="36" t="s">
        <v>177</v>
      </c>
      <c r="E8" s="322" t="s">
        <v>143</v>
      </c>
      <c r="F8" s="323" t="s">
        <v>144</v>
      </c>
      <c r="G8" s="324" t="s">
        <v>149</v>
      </c>
      <c r="H8" s="321"/>
      <c r="I8" s="77"/>
      <c r="J8" s="127"/>
    </row>
    <row r="9" spans="2:14" s="19" customFormat="1" ht="15.75" customHeight="1" thickBot="1" x14ac:dyDescent="0.3">
      <c r="C9" s="128" t="s">
        <v>145</v>
      </c>
      <c r="D9" s="143" t="s">
        <v>147</v>
      </c>
      <c r="E9" s="151">
        <v>80</v>
      </c>
      <c r="F9" s="78">
        <v>170</v>
      </c>
      <c r="G9" s="152">
        <f>+E9+F9</f>
        <v>250</v>
      </c>
      <c r="H9" s="148" t="s">
        <v>119</v>
      </c>
      <c r="I9" s="4"/>
      <c r="J9" s="163">
        <f>+E9/G9</f>
        <v>0.32</v>
      </c>
      <c r="K9" s="158" t="s">
        <v>137</v>
      </c>
      <c r="L9" s="159"/>
    </row>
    <row r="10" spans="2:14" s="19" customFormat="1" ht="15.75" customHeight="1" thickBot="1" x14ac:dyDescent="0.3">
      <c r="C10" s="128" t="s">
        <v>146</v>
      </c>
      <c r="D10" s="145" t="s">
        <v>117</v>
      </c>
      <c r="E10" s="151">
        <f>+E9</f>
        <v>80</v>
      </c>
      <c r="F10" s="151">
        <f>+F9</f>
        <v>170</v>
      </c>
      <c r="G10" s="154">
        <f>+E10+F10</f>
        <v>250</v>
      </c>
      <c r="H10" s="149" t="s">
        <v>119</v>
      </c>
      <c r="I10" s="4"/>
      <c r="J10" s="164">
        <f>+E10/G10</f>
        <v>0.32</v>
      </c>
      <c r="K10" s="157" t="s">
        <v>137</v>
      </c>
      <c r="L10" s="160"/>
    </row>
    <row r="11" spans="2:14" s="19" customFormat="1" ht="16.5" thickBot="1" x14ac:dyDescent="0.3">
      <c r="C11" s="128" t="s">
        <v>145</v>
      </c>
      <c r="D11" s="147" t="s">
        <v>148</v>
      </c>
      <c r="E11" s="151">
        <f>+E10</f>
        <v>80</v>
      </c>
      <c r="F11" s="151">
        <f>+F10</f>
        <v>170</v>
      </c>
      <c r="G11" s="156">
        <f>+E11+F11</f>
        <v>250</v>
      </c>
      <c r="H11" s="150" t="s">
        <v>119</v>
      </c>
      <c r="J11" s="165">
        <f>+E11/G11</f>
        <v>0.32</v>
      </c>
      <c r="K11" s="161" t="s">
        <v>137</v>
      </c>
      <c r="L11" s="162"/>
      <c r="M11" s="22"/>
    </row>
    <row r="12" spans="2:14" s="19" customFormat="1" ht="16.5" thickBot="1" x14ac:dyDescent="0.3">
      <c r="C12" s="128"/>
      <c r="D12" s="24"/>
      <c r="E12" s="80"/>
      <c r="F12" s="80"/>
      <c r="G12" s="129"/>
      <c r="H12" s="11"/>
      <c r="J12" s="130"/>
      <c r="K12" s="11"/>
      <c r="L12" s="4"/>
      <c r="M12" s="22"/>
    </row>
    <row r="13" spans="2:14" s="19" customFormat="1" ht="15.75" x14ac:dyDescent="0.25">
      <c r="D13" s="334" t="s">
        <v>111</v>
      </c>
      <c r="E13" s="338">
        <v>20000</v>
      </c>
      <c r="F13" s="144" t="s">
        <v>112</v>
      </c>
      <c r="G13" s="382"/>
      <c r="H13" s="5"/>
      <c r="J13" s="130"/>
      <c r="K13" s="11"/>
      <c r="L13" s="4"/>
      <c r="M13" s="22"/>
    </row>
    <row r="14" spans="2:14" s="19" customFormat="1" ht="15.75" x14ac:dyDescent="0.25">
      <c r="D14" s="335" t="s">
        <v>1</v>
      </c>
      <c r="E14" s="86">
        <v>211</v>
      </c>
      <c r="F14" s="146" t="str">
        <f>+VLOOKUP($E$14,'PDI Aux'!$B$5:$S$115,2,FALSE)</f>
        <v>EZEIZA</v>
      </c>
      <c r="G14" s="19" t="s">
        <v>150</v>
      </c>
      <c r="H14" s="5"/>
      <c r="I14" s="409"/>
      <c r="J14" s="130"/>
      <c r="K14" s="11"/>
      <c r="L14" s="4"/>
      <c r="M14" s="22"/>
    </row>
    <row r="15" spans="2:14" s="19" customFormat="1" ht="16.5" thickBot="1" x14ac:dyDescent="0.3">
      <c r="D15" s="336" t="s">
        <v>151</v>
      </c>
      <c r="E15" s="339">
        <f>+VLOOKUP($E$14,'PDI Aux'!$B$5:$S$115,5,FALSE)</f>
        <v>1</v>
      </c>
      <c r="F15" s="337"/>
      <c r="H15" s="5"/>
      <c r="J15" s="130"/>
      <c r="K15" s="11"/>
      <c r="L15" s="4"/>
      <c r="M15" s="22"/>
    </row>
    <row r="16" spans="2:14" s="19" customFormat="1" ht="16.5" thickBot="1" x14ac:dyDescent="0.3">
      <c r="D16" s="11"/>
      <c r="E16" s="11"/>
      <c r="F16" s="131"/>
      <c r="G16" s="11"/>
      <c r="H16" s="5"/>
      <c r="J16" s="130"/>
      <c r="K16" s="11"/>
      <c r="L16" s="4"/>
      <c r="M16" s="22"/>
    </row>
    <row r="17" spans="2:13" s="19" customFormat="1" ht="15.75" customHeight="1" thickBot="1" x14ac:dyDescent="0.25">
      <c r="D17" s="375" t="s">
        <v>189</v>
      </c>
      <c r="E17" s="22"/>
      <c r="F17" s="168"/>
      <c r="G17" s="611" t="s">
        <v>176</v>
      </c>
      <c r="H17" s="612"/>
      <c r="K17" s="22"/>
      <c r="L17" s="22"/>
      <c r="M17" s="22"/>
    </row>
    <row r="18" spans="2:13" s="19" customFormat="1" ht="15.75" customHeight="1" thickBot="1" x14ac:dyDescent="0.25">
      <c r="B18" s="20"/>
      <c r="D18" s="182" t="s">
        <v>116</v>
      </c>
      <c r="E18" s="613" t="s">
        <v>115</v>
      </c>
      <c r="F18" s="614"/>
      <c r="G18" s="177" t="s">
        <v>92</v>
      </c>
      <c r="H18" s="178" t="s">
        <v>86</v>
      </c>
    </row>
    <row r="19" spans="2:13" s="19" customFormat="1" ht="15.75" customHeight="1" x14ac:dyDescent="0.25">
      <c r="B19" s="20"/>
      <c r="C19" s="128" t="s">
        <v>166</v>
      </c>
      <c r="D19" s="183" t="s">
        <v>147</v>
      </c>
      <c r="E19" s="179" t="s">
        <v>92</v>
      </c>
      <c r="F19" s="174" t="s">
        <v>85</v>
      </c>
      <c r="G19" s="175">
        <v>1600</v>
      </c>
      <c r="H19" s="175">
        <v>1600</v>
      </c>
      <c r="M19" s="123"/>
    </row>
    <row r="20" spans="2:13" s="19" customFormat="1" ht="15.75" customHeight="1" x14ac:dyDescent="0.25">
      <c r="B20" s="20"/>
      <c r="C20" s="128" t="s">
        <v>167</v>
      </c>
      <c r="D20" s="184" t="s">
        <v>117</v>
      </c>
      <c r="E20" s="180" t="s">
        <v>86</v>
      </c>
      <c r="F20" s="170" t="s">
        <v>88</v>
      </c>
      <c r="G20" s="175">
        <v>1600</v>
      </c>
      <c r="H20" s="175">
        <v>1600</v>
      </c>
      <c r="M20" s="123"/>
    </row>
    <row r="21" spans="2:13" s="19" customFormat="1" ht="15.75" customHeight="1" thickBot="1" x14ac:dyDescent="0.3">
      <c r="B21" s="20"/>
      <c r="C21" s="128" t="s">
        <v>166</v>
      </c>
      <c r="D21" s="185" t="s">
        <v>148</v>
      </c>
      <c r="E21" s="181" t="s">
        <v>92</v>
      </c>
      <c r="F21" s="171" t="s">
        <v>85</v>
      </c>
      <c r="G21" s="175">
        <v>1600</v>
      </c>
      <c r="H21" s="175">
        <v>1600</v>
      </c>
      <c r="I21" s="77"/>
      <c r="M21" s="126"/>
    </row>
    <row r="22" spans="2:13" x14ac:dyDescent="0.2">
      <c r="J22" s="19"/>
      <c r="K22" s="19"/>
    </row>
    <row r="23" spans="2:13" ht="13.5" thickBot="1" x14ac:dyDescent="0.25">
      <c r="J23" s="19"/>
    </row>
    <row r="24" spans="2:13" ht="15.75" thickBot="1" x14ac:dyDescent="0.25">
      <c r="D24" s="191" t="s">
        <v>175</v>
      </c>
    </row>
    <row r="25" spans="2:13" s="19" customFormat="1" ht="15.75" customHeight="1" x14ac:dyDescent="0.25">
      <c r="B25" s="20"/>
      <c r="C25" s="12" t="s">
        <v>92</v>
      </c>
      <c r="D25" s="83">
        <v>8</v>
      </c>
      <c r="G25" s="9"/>
      <c r="H25" s="4"/>
      <c r="I25" s="77"/>
    </row>
    <row r="26" spans="2:13" s="19" customFormat="1" ht="15.75" customHeight="1" thickBot="1" x14ac:dyDescent="0.3">
      <c r="B26" s="20"/>
      <c r="C26" s="233" t="s">
        <v>86</v>
      </c>
      <c r="D26" s="84">
        <v>12</v>
      </c>
      <c r="I26" s="77"/>
      <c r="J26" s="127"/>
    </row>
    <row r="27" spans="2:13" s="19" customFormat="1" ht="15.75" customHeight="1" thickBot="1" x14ac:dyDescent="0.3">
      <c r="B27" s="20"/>
      <c r="I27" s="77"/>
      <c r="J27" s="127"/>
    </row>
    <row r="28" spans="2:13" s="19" customFormat="1" ht="15.75" customHeight="1" thickBot="1" x14ac:dyDescent="0.3">
      <c r="B28" s="20"/>
      <c r="C28" s="615" t="s">
        <v>168</v>
      </c>
      <c r="D28" s="616"/>
      <c r="E28" s="127"/>
      <c r="H28" s="4"/>
      <c r="I28" s="77"/>
      <c r="J28" s="127"/>
    </row>
    <row r="29" spans="2:13" s="19" customFormat="1" ht="15.75" customHeight="1" x14ac:dyDescent="0.25">
      <c r="B29" s="20"/>
      <c r="C29" s="12" t="str">
        <f>+$E$19</f>
        <v>Base</v>
      </c>
      <c r="D29" s="385" t="s">
        <v>155</v>
      </c>
      <c r="G29" s="9"/>
      <c r="H29" s="4"/>
      <c r="I29" s="77"/>
      <c r="J29" s="127"/>
    </row>
    <row r="30" spans="2:13" s="19" customFormat="1" ht="15.75" customHeight="1" thickBot="1" x14ac:dyDescent="0.3">
      <c r="B30" s="20"/>
      <c r="C30" s="233" t="str">
        <f>+$E$20</f>
        <v>Alternativo</v>
      </c>
      <c r="D30" s="386" t="s">
        <v>155</v>
      </c>
      <c r="G30" s="9"/>
      <c r="H30" s="4"/>
      <c r="I30" s="77"/>
      <c r="J30" s="127"/>
    </row>
    <row r="31" spans="2:13" s="19" customFormat="1" ht="15.75" customHeight="1" thickBot="1" x14ac:dyDescent="0.3">
      <c r="B31" s="20"/>
      <c r="C31" s="4"/>
      <c r="D31" s="133"/>
      <c r="G31" s="9"/>
      <c r="H31" s="4"/>
      <c r="I31" s="77"/>
      <c r="J31" s="127"/>
    </row>
    <row r="32" spans="2:13" s="19" customFormat="1" ht="15.75" customHeight="1" thickBot="1" x14ac:dyDescent="0.3">
      <c r="B32" s="20"/>
      <c r="E32" s="187" t="s">
        <v>190</v>
      </c>
      <c r="F32" s="188"/>
      <c r="H32" s="4"/>
      <c r="I32" s="77"/>
      <c r="J32" s="127"/>
    </row>
    <row r="33" spans="1:24" s="19" customFormat="1" ht="15.75" customHeight="1" x14ac:dyDescent="0.25">
      <c r="B33" s="20"/>
      <c r="C33" s="12" t="str">
        <f>+$E$19</f>
        <v>Base</v>
      </c>
      <c r="D33" s="13" t="str">
        <f>+$F$19</f>
        <v>Gas</v>
      </c>
      <c r="E33" s="319" t="s">
        <v>0</v>
      </c>
      <c r="F33" s="460">
        <f>+IF($E33="ID",+VLOOKUP($E$14,'PDI Aux'!$B$5:$W$117,15,FALSE),IF($E33="IT",+VLOOKUP($E$14,'PDI Aux'!$B$5:$W$117,16,FALSE),IF($E33="Terrestre GO",+VLOOKUP($E$14,'PDI Aux'!$B$5:$W$117,17,FALSE),IF($E33="Fluvial GO",+VLOOKUP($E$14,'PDI Aux'!$B$5:$W$117,18,FALSE),IF($E33="Terrestre FO",+VLOOKUP($E$14,'PDI Aux'!$B$5:$W$117,19,FALSE),IF($E33="Fluvial FO",+VLOOKUP($E$14,'PDI Aux'!$B$5:$W$117,20,FALSE),IF($E33="Combustible Propio",+VLOOKUP($E$14,'PDI Aux'!$B$5:$W$117,21,FALSE),"ERROR")))))))</f>
        <v>0.59055767725487596</v>
      </c>
      <c r="G33" s="186" t="str">
        <f>+VLOOKUP($D33,'Precios Ref Mercado'!$C$7:$G$9,3,FALSE)</f>
        <v>U$S/Mbtu</v>
      </c>
      <c r="H33" s="4"/>
      <c r="I33" s="77"/>
      <c r="J33" s="127"/>
    </row>
    <row r="34" spans="1:24" s="19" customFormat="1" ht="15.75" customHeight="1" thickBot="1" x14ac:dyDescent="0.3">
      <c r="B34" s="20"/>
      <c r="C34" s="233" t="str">
        <f>+$E$20</f>
        <v>Alternativo</v>
      </c>
      <c r="D34" s="15" t="str">
        <f>+$F$20</f>
        <v>Gas Oil</v>
      </c>
      <c r="E34" s="320" t="s">
        <v>126</v>
      </c>
      <c r="F34" s="461">
        <f>+IF($E34="ID",+VLOOKUP($E$14,'PDI Aux'!$B$5:$W$117,15,FALSE),IF($E34="IT",+VLOOKUP($E$14,'PDI Aux'!$B$5:$W$117,16,FALSE),IF($E34="Terrestre GO",+VLOOKUP($E$14,'PDI Aux'!$B$5:$W$117,17,FALSE),IF($E34="Fluvial GO",+VLOOKUP($E$14,'PDI Aux'!$B$5:$W$117,18,FALSE),IF($E34="Terrestre FO",+VLOOKUP($E$14,'PDI Aux'!$B$5:$W$117,19,FALSE),IF($E34="Fluvial FO",+VLOOKUP($E$14,'PDI Aux'!$B$5:$W$117,20,FALSE),IF($E34="Combustible Propio",+VLOOKUP($E$14,'PDI Aux'!$B$5:$W$117,21,FALSE),"ERROR")))))))</f>
        <v>21</v>
      </c>
      <c r="G34" s="318" t="str">
        <f>+VLOOKUP($D34,'Precios Ref Mercado'!$C$7:$G$9,3,FALSE)</f>
        <v>U$S/m3</v>
      </c>
      <c r="H34" s="4"/>
      <c r="I34" s="77"/>
      <c r="J34" s="127"/>
    </row>
    <row r="35" spans="1:24" s="19" customFormat="1" ht="15.75" customHeight="1" thickBot="1" x14ac:dyDescent="0.3">
      <c r="B35" s="20"/>
      <c r="G35" s="9"/>
      <c r="H35" s="4"/>
      <c r="I35" s="77"/>
      <c r="J35" s="127"/>
    </row>
    <row r="36" spans="1:24" s="19" customFormat="1" ht="46.5" customHeight="1" thickBot="1" x14ac:dyDescent="0.3">
      <c r="B36" s="20"/>
      <c r="E36" s="190" t="s">
        <v>174</v>
      </c>
      <c r="F36" s="187" t="s">
        <v>165</v>
      </c>
      <c r="G36" s="188"/>
      <c r="H36" s="4"/>
      <c r="I36" s="77"/>
      <c r="J36" s="127"/>
    </row>
    <row r="37" spans="1:24" s="19" customFormat="1" ht="15.75" customHeight="1" x14ac:dyDescent="0.25">
      <c r="B37" s="20"/>
      <c r="C37" s="12" t="str">
        <f>+$E$19</f>
        <v>Base</v>
      </c>
      <c r="D37" s="13" t="str">
        <f>+$F$19</f>
        <v>Gas</v>
      </c>
      <c r="E37" s="13">
        <f>+VLOOKUP($D33,'Precios Ref Mercado'!$C$7:$G$9,2,FALSE)</f>
        <v>5.2</v>
      </c>
      <c r="F37" s="466">
        <f>+F33+E37</f>
        <v>5.7905576772548759</v>
      </c>
      <c r="G37" s="186" t="str">
        <f>+VLOOKUP($D33,'Precios Ref Mercado'!$C$7:$G$9,3,FALSE)</f>
        <v>U$S/Mbtu</v>
      </c>
      <c r="H37" s="4"/>
      <c r="I37" s="77"/>
      <c r="J37" s="127"/>
    </row>
    <row r="38" spans="1:24" s="19" customFormat="1" ht="15.75" customHeight="1" thickBot="1" x14ac:dyDescent="0.3">
      <c r="B38" s="20"/>
      <c r="C38" s="233" t="str">
        <f>+$E$20</f>
        <v>Alternativo</v>
      </c>
      <c r="D38" s="15" t="str">
        <f>+$F$20</f>
        <v>Gas Oil</v>
      </c>
      <c r="E38" s="15">
        <f>+VLOOKUP($D34,'Precios Ref Mercado'!$C$7:$G$9,2,FALSE)</f>
        <v>400</v>
      </c>
      <c r="F38" s="462">
        <f>+E38+F34</f>
        <v>421</v>
      </c>
      <c r="G38" s="318" t="str">
        <f>+VLOOKUP($D34,'Precios Ref Mercado'!$C$7:$G$9,3,FALSE)</f>
        <v>U$S/m3</v>
      </c>
      <c r="H38" s="4"/>
      <c r="I38" s="77"/>
      <c r="J38" s="127"/>
    </row>
    <row r="39" spans="1:24" s="19" customFormat="1" ht="14.25" customHeight="1" thickBot="1" x14ac:dyDescent="0.3">
      <c r="B39" s="20"/>
      <c r="D39" s="21"/>
      <c r="F39" s="20"/>
      <c r="G39" s="22"/>
      <c r="H39" s="22"/>
      <c r="I39" s="22"/>
    </row>
    <row r="40" spans="1:24" s="7" customFormat="1" ht="29.25" customHeight="1" thickBot="1" x14ac:dyDescent="0.3">
      <c r="E40" s="190" t="s">
        <v>87</v>
      </c>
      <c r="F40" s="187" t="s">
        <v>159</v>
      </c>
      <c r="G40" s="188"/>
      <c r="H40" s="621" t="s">
        <v>198</v>
      </c>
      <c r="I40" s="622"/>
    </row>
    <row r="41" spans="1:24" ht="16.5" thickBot="1" x14ac:dyDescent="0.3">
      <c r="C41" s="12" t="str">
        <f>+$E$19</f>
        <v>Base</v>
      </c>
      <c r="D41" s="13" t="str">
        <f>+$F$19</f>
        <v>Gas</v>
      </c>
      <c r="E41" s="81">
        <v>1.1000000000000001</v>
      </c>
      <c r="F41" s="465">
        <f>IF(VLOOKUP(C41,$C$29:$D$30,2,FALSE)="NO",IF(D41="Gas",F37,F37*1.05),IF(D37="Gas",E37*E41+F33,E41*E37))</f>
        <v>5.7905576772548759</v>
      </c>
      <c r="G41" s="14" t="str">
        <f>+G37</f>
        <v>U$S/Mbtu</v>
      </c>
      <c r="H41" s="316">
        <f>+VLOOKUP($D33,'Precios Ref Mercado'!$C$7:$G$9,4,FALSE)</f>
        <v>227.55594083545537</v>
      </c>
      <c r="I41" s="376" t="str">
        <f>+VLOOKUP(D41,Aux!$B$13:$C$15,2,FALSE)</f>
        <v>kcal/MBTU</v>
      </c>
    </row>
    <row r="42" spans="1:24" ht="16.5" thickBot="1" x14ac:dyDescent="0.3">
      <c r="C42" s="233" t="str">
        <f>+$E$20</f>
        <v>Alternativo</v>
      </c>
      <c r="D42" s="15" t="str">
        <f>+$F$20</f>
        <v>Gas Oil</v>
      </c>
      <c r="E42" s="82">
        <v>1.1000000000000001</v>
      </c>
      <c r="F42" s="465">
        <f>IF(VLOOKUP(C42,$C$29:$D$30,2,FALSE)="NO",IF(D42="Gas",F38,F38*1.05),IF(D38="Gas",E38*E42+F34,E42*E38))</f>
        <v>442.05</v>
      </c>
      <c r="G42" s="16" t="str">
        <f>+G38</f>
        <v>U$S/m3</v>
      </c>
      <c r="H42" s="317">
        <f>+VLOOKUP($D34,'Precios Ref Mercado'!$C$7:$G$9,4,FALSE)</f>
        <v>8580</v>
      </c>
      <c r="I42" s="376" t="str">
        <f>+VLOOKUP(D42,Aux!$B$13:$C$15,2,FALSE)</f>
        <v>Kcal/m3</v>
      </c>
    </row>
    <row r="43" spans="1:24" ht="15" x14ac:dyDescent="0.2">
      <c r="F43" s="79"/>
      <c r="P43" s="19"/>
      <c r="Q43" s="19"/>
      <c r="R43" s="19"/>
      <c r="S43" s="19"/>
      <c r="T43" s="19"/>
      <c r="U43" s="19"/>
      <c r="V43" s="19"/>
      <c r="W43" s="19"/>
      <c r="X43" s="19"/>
    </row>
    <row r="44" spans="1:24" s="294" customFormat="1" ht="20.25" x14ac:dyDescent="0.3">
      <c r="B44" s="292" t="s">
        <v>160</v>
      </c>
      <c r="P44" s="295"/>
      <c r="Q44" s="295"/>
      <c r="R44" s="295"/>
      <c r="S44" s="295"/>
      <c r="T44" s="295"/>
      <c r="U44" s="295"/>
      <c r="V44" s="295"/>
    </row>
    <row r="45" spans="1:24" ht="13.5" thickBot="1" x14ac:dyDescent="0.25">
      <c r="G45" s="4"/>
      <c r="H45" s="4"/>
      <c r="I45" s="4"/>
      <c r="V45" s="19"/>
    </row>
    <row r="46" spans="1:24" s="6" customFormat="1" ht="36.75" thickBot="1" x14ac:dyDescent="0.25">
      <c r="A46" s="98"/>
      <c r="B46" s="98"/>
      <c r="C46" s="88" t="s">
        <v>178</v>
      </c>
      <c r="D46" s="88" t="s">
        <v>179</v>
      </c>
      <c r="E46" s="88" t="s">
        <v>180</v>
      </c>
      <c r="F46" s="88" t="s">
        <v>181</v>
      </c>
      <c r="G46" s="88" t="s">
        <v>175</v>
      </c>
      <c r="H46" s="88" t="s">
        <v>182</v>
      </c>
      <c r="I46" s="315" t="s">
        <v>183</v>
      </c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99"/>
      <c r="W46" s="89"/>
    </row>
    <row r="47" spans="1:24" ht="13.5" thickBot="1" x14ac:dyDescent="0.25">
      <c r="A47" s="248" t="s">
        <v>94</v>
      </c>
      <c r="B47" s="300" t="str">
        <f>+$E$19</f>
        <v>Base</v>
      </c>
      <c r="C47" s="100">
        <f>+HLOOKUP($B47,$G$18:$H$20,2,FALSE)</f>
        <v>1600</v>
      </c>
      <c r="D47" s="134">
        <f>+VLOOKUP($B47,$C$41:$H$42,4,FALSE)</f>
        <v>5.7905576772548759</v>
      </c>
      <c r="E47" s="135">
        <f>+VLOOKUP($B47,$C$41:$H$42,6,FALSE)</f>
        <v>227.55594083545537</v>
      </c>
      <c r="F47" s="102">
        <f t="shared" ref="F47:F58" si="0">+D47*C47/E47</f>
        <v>40.714789732987903</v>
      </c>
      <c r="G47" s="100">
        <f>+VLOOKUP(B47,$C$25:$D$26,2,FALSE)</f>
        <v>8</v>
      </c>
      <c r="H47" s="102">
        <f t="shared" ref="H47:H58" si="1">+F47+G47</f>
        <v>48.714789732987903</v>
      </c>
      <c r="I47" s="313">
        <f t="shared" ref="I47:I58" si="2">ROUND(+H47*$E$15,2)</f>
        <v>48.71</v>
      </c>
    </row>
    <row r="48" spans="1:24" ht="13.5" thickBot="1" x14ac:dyDescent="0.25">
      <c r="A48" s="250" t="s">
        <v>95</v>
      </c>
      <c r="B48" s="301" t="str">
        <f>+B47</f>
        <v>Base</v>
      </c>
      <c r="C48" s="100">
        <f t="shared" ref="C48:C50" si="3">+HLOOKUP($B48,$G$18:$H$20,2,FALSE)</f>
        <v>1600</v>
      </c>
      <c r="D48" s="134">
        <f t="shared" ref="D48:D58" si="4">+VLOOKUP($B48,$C$41:$H$42,4,FALSE)</f>
        <v>5.7905576772548759</v>
      </c>
      <c r="E48" s="135">
        <f t="shared" ref="E48:E58" si="5">+VLOOKUP($B48,$C$41:$H$42,6,FALSE)</f>
        <v>227.55594083545537</v>
      </c>
      <c r="F48" s="102">
        <f t="shared" si="0"/>
        <v>40.714789732987903</v>
      </c>
      <c r="G48" s="100">
        <f t="shared" ref="G48:G58" si="6">+VLOOKUP(B48,$C$25:$D$26,2,FALSE)</f>
        <v>8</v>
      </c>
      <c r="H48" s="102">
        <f t="shared" si="1"/>
        <v>48.714789732987903</v>
      </c>
      <c r="I48" s="308">
        <f t="shared" si="2"/>
        <v>48.71</v>
      </c>
    </row>
    <row r="49" spans="1:20" ht="13.5" thickBot="1" x14ac:dyDescent="0.25">
      <c r="A49" s="250" t="s">
        <v>96</v>
      </c>
      <c r="B49" s="301" t="str">
        <f t="shared" ref="B49:B50" si="7">+B48</f>
        <v>Base</v>
      </c>
      <c r="C49" s="100">
        <f t="shared" si="3"/>
        <v>1600</v>
      </c>
      <c r="D49" s="134">
        <f t="shared" si="4"/>
        <v>5.7905576772548759</v>
      </c>
      <c r="E49" s="135">
        <f t="shared" si="5"/>
        <v>227.55594083545537</v>
      </c>
      <c r="F49" s="102">
        <f t="shared" si="0"/>
        <v>40.714789732987903</v>
      </c>
      <c r="G49" s="100">
        <f t="shared" si="6"/>
        <v>8</v>
      </c>
      <c r="H49" s="102">
        <f t="shared" si="1"/>
        <v>48.714789732987903</v>
      </c>
      <c r="I49" s="308">
        <f t="shared" si="2"/>
        <v>48.71</v>
      </c>
      <c r="J49" s="26"/>
      <c r="K49" s="26"/>
      <c r="L49" s="26"/>
      <c r="M49" s="26"/>
      <c r="N49" s="25"/>
      <c r="O49" s="25"/>
      <c r="P49" s="25"/>
      <c r="Q49" s="25"/>
      <c r="R49" s="26"/>
      <c r="S49" s="25"/>
      <c r="T49" s="25"/>
    </row>
    <row r="50" spans="1:20" ht="13.5" thickBot="1" x14ac:dyDescent="0.25">
      <c r="A50" s="258" t="s">
        <v>97</v>
      </c>
      <c r="B50" s="302" t="str">
        <f t="shared" si="7"/>
        <v>Base</v>
      </c>
      <c r="C50" s="100">
        <f t="shared" si="3"/>
        <v>1600</v>
      </c>
      <c r="D50" s="260">
        <f t="shared" si="4"/>
        <v>5.7905576772548759</v>
      </c>
      <c r="E50" s="261">
        <f t="shared" si="5"/>
        <v>227.55594083545537</v>
      </c>
      <c r="F50" s="262">
        <f t="shared" si="0"/>
        <v>40.714789732987903</v>
      </c>
      <c r="G50" s="263">
        <f t="shared" si="6"/>
        <v>8</v>
      </c>
      <c r="H50" s="262">
        <f t="shared" si="1"/>
        <v>48.714789732987903</v>
      </c>
      <c r="I50" s="309">
        <f t="shared" si="2"/>
        <v>48.71</v>
      </c>
      <c r="J50" s="26"/>
      <c r="K50" s="26"/>
      <c r="L50" s="26"/>
      <c r="M50" s="26"/>
      <c r="N50" s="25"/>
      <c r="O50" s="25"/>
      <c r="P50" s="25"/>
      <c r="Q50" s="25"/>
      <c r="R50" s="26"/>
      <c r="S50" s="25"/>
      <c r="T50" s="25"/>
    </row>
    <row r="51" spans="1:20" ht="13.5" thickBot="1" x14ac:dyDescent="0.25">
      <c r="A51" s="266" t="s">
        <v>98</v>
      </c>
      <c r="B51" s="303" t="str">
        <f>IF($K$4="Si","Base",+$E$20)</f>
        <v>Alternativo</v>
      </c>
      <c r="C51" s="271">
        <f>+HLOOKUP($B51,$G$18:$H$20,3,FALSE)</f>
        <v>1600</v>
      </c>
      <c r="D51" s="268">
        <f t="shared" si="4"/>
        <v>442.05</v>
      </c>
      <c r="E51" s="269">
        <f t="shared" si="5"/>
        <v>8580</v>
      </c>
      <c r="F51" s="270">
        <f t="shared" si="0"/>
        <v>82.43356643356644</v>
      </c>
      <c r="G51" s="271">
        <f t="shared" si="6"/>
        <v>12</v>
      </c>
      <c r="H51" s="270">
        <f t="shared" si="1"/>
        <v>94.43356643356644</v>
      </c>
      <c r="I51" s="310">
        <f t="shared" si="2"/>
        <v>94.43</v>
      </c>
      <c r="J51" s="26"/>
      <c r="K51" s="26"/>
      <c r="L51" s="26"/>
      <c r="M51" s="26"/>
      <c r="N51" s="25"/>
      <c r="O51" s="25"/>
      <c r="P51" s="25"/>
      <c r="Q51" s="25"/>
      <c r="R51" s="26"/>
      <c r="S51" s="25"/>
      <c r="T51" s="25"/>
    </row>
    <row r="52" spans="1:20" ht="13.5" thickBot="1" x14ac:dyDescent="0.25">
      <c r="A52" s="254" t="s">
        <v>99</v>
      </c>
      <c r="B52" s="304" t="str">
        <f>+B51</f>
        <v>Alternativo</v>
      </c>
      <c r="C52" s="271">
        <f t="shared" ref="C52:C54" si="8">+HLOOKUP($B52,$G$18:$H$20,3,FALSE)</f>
        <v>1600</v>
      </c>
      <c r="D52" s="256">
        <f t="shared" si="4"/>
        <v>442.05</v>
      </c>
      <c r="E52" s="257">
        <f t="shared" si="5"/>
        <v>8580</v>
      </c>
      <c r="F52" s="107">
        <f t="shared" si="0"/>
        <v>82.43356643356644</v>
      </c>
      <c r="G52" s="106">
        <f t="shared" si="6"/>
        <v>12</v>
      </c>
      <c r="H52" s="107">
        <f t="shared" si="1"/>
        <v>94.43356643356644</v>
      </c>
      <c r="I52" s="311">
        <f t="shared" si="2"/>
        <v>94.43</v>
      </c>
      <c r="J52" s="26"/>
      <c r="K52" s="26"/>
      <c r="L52" s="26"/>
      <c r="M52" s="26"/>
      <c r="N52" s="25"/>
      <c r="O52" s="25"/>
      <c r="P52" s="25"/>
      <c r="Q52" s="25"/>
      <c r="R52" s="26"/>
      <c r="S52" s="25"/>
      <c r="T52" s="25"/>
    </row>
    <row r="53" spans="1:20" ht="13.5" thickBot="1" x14ac:dyDescent="0.25">
      <c r="A53" s="254" t="s">
        <v>100</v>
      </c>
      <c r="B53" s="304" t="str">
        <f t="shared" ref="B53:B54" si="9">+B52</f>
        <v>Alternativo</v>
      </c>
      <c r="C53" s="271">
        <f t="shared" si="8"/>
        <v>1600</v>
      </c>
      <c r="D53" s="256">
        <f t="shared" si="4"/>
        <v>442.05</v>
      </c>
      <c r="E53" s="257">
        <f t="shared" si="5"/>
        <v>8580</v>
      </c>
      <c r="F53" s="107">
        <f t="shared" si="0"/>
        <v>82.43356643356644</v>
      </c>
      <c r="G53" s="106">
        <f t="shared" si="6"/>
        <v>12</v>
      </c>
      <c r="H53" s="107">
        <f t="shared" si="1"/>
        <v>94.43356643356644</v>
      </c>
      <c r="I53" s="311">
        <f t="shared" si="2"/>
        <v>94.43</v>
      </c>
      <c r="J53" s="26"/>
      <c r="K53" s="26"/>
      <c r="L53" s="26"/>
      <c r="M53" s="26"/>
      <c r="N53" s="25"/>
      <c r="O53" s="25"/>
      <c r="P53" s="25"/>
      <c r="Q53" s="25"/>
      <c r="R53" s="26"/>
      <c r="S53" s="25"/>
      <c r="T53" s="25"/>
    </row>
    <row r="54" spans="1:20" ht="13.5" thickBot="1" x14ac:dyDescent="0.25">
      <c r="A54" s="272" t="s">
        <v>101</v>
      </c>
      <c r="B54" s="305" t="str">
        <f t="shared" si="9"/>
        <v>Alternativo</v>
      </c>
      <c r="C54" s="271">
        <f t="shared" si="8"/>
        <v>1600</v>
      </c>
      <c r="D54" s="256">
        <f t="shared" si="4"/>
        <v>442.05</v>
      </c>
      <c r="E54" s="257">
        <f t="shared" si="5"/>
        <v>8580</v>
      </c>
      <c r="F54" s="107">
        <f t="shared" si="0"/>
        <v>82.43356643356644</v>
      </c>
      <c r="G54" s="106">
        <f t="shared" si="6"/>
        <v>12</v>
      </c>
      <c r="H54" s="107">
        <f t="shared" si="1"/>
        <v>94.43356643356644</v>
      </c>
      <c r="I54" s="312">
        <f t="shared" si="2"/>
        <v>94.43</v>
      </c>
      <c r="J54" s="26"/>
      <c r="K54" s="26"/>
      <c r="L54" s="26"/>
      <c r="M54" s="26"/>
      <c r="N54" s="25"/>
      <c r="O54" s="25"/>
      <c r="P54" s="25"/>
      <c r="Q54" s="25"/>
      <c r="R54" s="26"/>
      <c r="S54" s="25"/>
      <c r="T54" s="25"/>
    </row>
    <row r="55" spans="1:20" ht="13.5" thickBot="1" x14ac:dyDescent="0.25">
      <c r="A55" s="264" t="s">
        <v>102</v>
      </c>
      <c r="B55" s="306" t="str">
        <f>+B50</f>
        <v>Base</v>
      </c>
      <c r="C55" s="100">
        <f>+HLOOKUP($B55,$G$18:$H$20,2,FALSE)</f>
        <v>1600</v>
      </c>
      <c r="D55" s="134">
        <f t="shared" si="4"/>
        <v>5.7905576772548759</v>
      </c>
      <c r="E55" s="135">
        <f t="shared" si="5"/>
        <v>227.55594083545537</v>
      </c>
      <c r="F55" s="102">
        <f t="shared" si="0"/>
        <v>40.714789732987903</v>
      </c>
      <c r="G55" s="100">
        <f t="shared" si="6"/>
        <v>8</v>
      </c>
      <c r="H55" s="102">
        <f t="shared" si="1"/>
        <v>48.714789732987903</v>
      </c>
      <c r="I55" s="313">
        <f t="shared" si="2"/>
        <v>48.71</v>
      </c>
      <c r="J55" s="26"/>
      <c r="K55" s="26"/>
      <c r="L55" s="26"/>
      <c r="M55" s="26"/>
      <c r="N55" s="25"/>
      <c r="O55" s="25"/>
      <c r="P55" s="25"/>
      <c r="Q55" s="25"/>
      <c r="R55" s="26"/>
      <c r="S55" s="25"/>
      <c r="T55" s="25"/>
    </row>
    <row r="56" spans="1:20" ht="13.5" thickBot="1" x14ac:dyDescent="0.25">
      <c r="A56" s="250" t="s">
        <v>103</v>
      </c>
      <c r="B56" s="301" t="str">
        <f>+B55</f>
        <v>Base</v>
      </c>
      <c r="C56" s="100">
        <f t="shared" ref="C56:C58" si="10">+HLOOKUP($B56,$G$18:$H$20,2,FALSE)</f>
        <v>1600</v>
      </c>
      <c r="D56" s="134">
        <f t="shared" si="4"/>
        <v>5.7905576772548759</v>
      </c>
      <c r="E56" s="135">
        <f t="shared" si="5"/>
        <v>227.55594083545537</v>
      </c>
      <c r="F56" s="102">
        <f t="shared" si="0"/>
        <v>40.714789732987903</v>
      </c>
      <c r="G56" s="100">
        <f t="shared" si="6"/>
        <v>8</v>
      </c>
      <c r="H56" s="102">
        <f t="shared" si="1"/>
        <v>48.714789732987903</v>
      </c>
      <c r="I56" s="308">
        <f t="shared" si="2"/>
        <v>48.71</v>
      </c>
      <c r="J56" s="26"/>
      <c r="K56" s="26"/>
      <c r="L56" s="26"/>
      <c r="M56" s="26"/>
      <c r="N56" s="25"/>
      <c r="O56" s="25"/>
      <c r="P56" s="25"/>
      <c r="Q56" s="25"/>
      <c r="R56" s="26"/>
      <c r="S56" s="25"/>
      <c r="T56" s="25"/>
    </row>
    <row r="57" spans="1:20" ht="13.5" thickBot="1" x14ac:dyDescent="0.25">
      <c r="A57" s="250" t="s">
        <v>104</v>
      </c>
      <c r="B57" s="301" t="str">
        <f t="shared" ref="B57:B58" si="11">+B56</f>
        <v>Base</v>
      </c>
      <c r="C57" s="100">
        <f t="shared" si="10"/>
        <v>1600</v>
      </c>
      <c r="D57" s="134">
        <f t="shared" si="4"/>
        <v>5.7905576772548759</v>
      </c>
      <c r="E57" s="135">
        <f t="shared" si="5"/>
        <v>227.55594083545537</v>
      </c>
      <c r="F57" s="102">
        <f t="shared" si="0"/>
        <v>40.714789732987903</v>
      </c>
      <c r="G57" s="100">
        <f t="shared" si="6"/>
        <v>8</v>
      </c>
      <c r="H57" s="102">
        <f t="shared" si="1"/>
        <v>48.714789732987903</v>
      </c>
      <c r="I57" s="308">
        <f t="shared" si="2"/>
        <v>48.71</v>
      </c>
      <c r="J57" s="26"/>
      <c r="K57" s="26"/>
      <c r="L57" s="26"/>
      <c r="M57" s="26"/>
      <c r="N57" s="25"/>
      <c r="O57" s="25"/>
      <c r="P57" s="25"/>
      <c r="Q57" s="25"/>
      <c r="R57" s="26"/>
      <c r="S57" s="25"/>
      <c r="T57" s="25"/>
    </row>
    <row r="58" spans="1:20" ht="13.5" thickBot="1" x14ac:dyDescent="0.25">
      <c r="A58" s="252" t="s">
        <v>105</v>
      </c>
      <c r="B58" s="307" t="str">
        <f t="shared" si="11"/>
        <v>Base</v>
      </c>
      <c r="C58" s="100">
        <f t="shared" si="10"/>
        <v>1600</v>
      </c>
      <c r="D58" s="134">
        <f t="shared" si="4"/>
        <v>5.7905576772548759</v>
      </c>
      <c r="E58" s="135">
        <f t="shared" si="5"/>
        <v>227.55594083545537</v>
      </c>
      <c r="F58" s="102">
        <f t="shared" si="0"/>
        <v>40.714789732987903</v>
      </c>
      <c r="G58" s="100">
        <f t="shared" si="6"/>
        <v>8</v>
      </c>
      <c r="H58" s="102">
        <f t="shared" si="1"/>
        <v>48.714789732987903</v>
      </c>
      <c r="I58" s="314">
        <f t="shared" si="2"/>
        <v>48.71</v>
      </c>
      <c r="J58" s="26"/>
      <c r="K58" s="26"/>
      <c r="L58" s="26"/>
      <c r="M58" s="26"/>
      <c r="N58" s="25"/>
      <c r="O58" s="25"/>
      <c r="P58" s="25"/>
      <c r="Q58" s="25"/>
      <c r="R58" s="26"/>
      <c r="S58" s="25"/>
      <c r="T58" s="25"/>
    </row>
    <row r="59" spans="1:20" x14ac:dyDescent="0.2">
      <c r="A59" s="25"/>
      <c r="B59" s="25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5"/>
      <c r="O59" s="25"/>
      <c r="P59" s="25"/>
      <c r="Q59" s="25"/>
      <c r="R59" s="26"/>
      <c r="S59" s="25"/>
      <c r="T59" s="25"/>
    </row>
    <row r="60" spans="1:20" ht="13.5" thickBot="1" x14ac:dyDescent="0.25">
      <c r="A60" s="25"/>
      <c r="B60" s="25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5"/>
      <c r="O60" s="25"/>
      <c r="P60" s="25"/>
      <c r="Q60" s="25"/>
      <c r="R60" s="26"/>
      <c r="S60" s="25"/>
      <c r="T60" s="25"/>
    </row>
    <row r="61" spans="1:20" ht="13.5" thickBot="1" x14ac:dyDescent="0.25">
      <c r="A61" s="25"/>
      <c r="B61" s="304" t="s">
        <v>86</v>
      </c>
      <c r="C61" s="271">
        <f t="shared" ref="C61" si="12">+HLOOKUP($B61,$G$18:$H$20,3,FALSE)</f>
        <v>1600</v>
      </c>
      <c r="D61" s="268">
        <f t="shared" ref="D61" si="13">+VLOOKUP($B61,$C$41:$H$42,4,FALSE)</f>
        <v>442.05</v>
      </c>
      <c r="E61" s="269">
        <f t="shared" ref="E61" si="14">+VLOOKUP($B61,$C$41:$H$42,6,FALSE)</f>
        <v>8580</v>
      </c>
      <c r="F61" s="270">
        <f t="shared" ref="F61" si="15">+D61*C61/E61</f>
        <v>82.43356643356644</v>
      </c>
      <c r="G61" s="271">
        <f t="shared" ref="G61" si="16">+VLOOKUP(B61,$C$25:$D$26,2,FALSE)</f>
        <v>12</v>
      </c>
      <c r="H61" s="270">
        <f t="shared" ref="H61" si="17">+F61+G61</f>
        <v>94.43356643356644</v>
      </c>
      <c r="I61" s="479">
        <f t="shared" ref="I61" si="18">ROUND(+H61*$E$15,2)</f>
        <v>94.43</v>
      </c>
      <c r="J61" s="26"/>
      <c r="K61" s="26"/>
      <c r="L61" s="26"/>
      <c r="M61" s="26"/>
      <c r="N61" s="25"/>
      <c r="O61" s="25"/>
      <c r="P61" s="25"/>
      <c r="Q61" s="25"/>
      <c r="R61" s="26"/>
      <c r="S61" s="25"/>
      <c r="T61" s="25"/>
    </row>
    <row r="62" spans="1:20" x14ac:dyDescent="0.2">
      <c r="A62" s="25"/>
      <c r="B62" s="25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5"/>
      <c r="O62" s="25"/>
      <c r="P62" s="25"/>
      <c r="Q62" s="25"/>
      <c r="R62" s="26"/>
      <c r="S62" s="25"/>
      <c r="T62" s="25"/>
    </row>
    <row r="63" spans="1:20" s="294" customFormat="1" ht="20.25" x14ac:dyDescent="0.3">
      <c r="A63" s="291"/>
      <c r="B63" s="292" t="s">
        <v>161</v>
      </c>
      <c r="C63" s="293"/>
      <c r="D63" s="293"/>
      <c r="E63" s="293"/>
      <c r="F63" s="293"/>
      <c r="G63" s="293"/>
      <c r="H63" s="293"/>
      <c r="I63" s="293"/>
      <c r="J63" s="293"/>
      <c r="K63" s="293"/>
      <c r="L63" s="293"/>
      <c r="M63" s="293"/>
      <c r="N63" s="291"/>
      <c r="O63" s="291"/>
      <c r="P63" s="291"/>
      <c r="Q63" s="291"/>
      <c r="R63" s="293"/>
      <c r="S63" s="291"/>
      <c r="T63" s="291"/>
    </row>
    <row r="64" spans="1:20" ht="13.5" thickBot="1" x14ac:dyDescent="0.25">
      <c r="A64" s="25"/>
      <c r="B64" s="25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5"/>
      <c r="O64" s="25"/>
      <c r="P64" s="25"/>
      <c r="Q64" s="25"/>
      <c r="R64" s="26"/>
      <c r="S64" s="25"/>
      <c r="T64" s="25"/>
    </row>
    <row r="65" spans="1:23" s="6" customFormat="1" ht="63" customHeight="1" thickBot="1" x14ac:dyDescent="0.25">
      <c r="A65" s="98"/>
      <c r="B65" s="98"/>
      <c r="C65" s="136" t="s">
        <v>184</v>
      </c>
      <c r="D65" s="136" t="s">
        <v>185</v>
      </c>
      <c r="E65" s="136" t="s">
        <v>193</v>
      </c>
      <c r="F65" s="136" t="s">
        <v>293</v>
      </c>
      <c r="G65" s="329" t="s">
        <v>118</v>
      </c>
      <c r="H65" s="26"/>
      <c r="I65" s="136" t="s">
        <v>292</v>
      </c>
      <c r="J65" s="136" t="s">
        <v>106</v>
      </c>
      <c r="K65" s="329" t="s">
        <v>297</v>
      </c>
      <c r="L65" s="136" t="s">
        <v>298</v>
      </c>
      <c r="W65" s="89"/>
    </row>
    <row r="66" spans="1:23" ht="13.5" thickBot="1" x14ac:dyDescent="0.25">
      <c r="A66" s="248" t="s">
        <v>94</v>
      </c>
      <c r="B66" s="249" t="str">
        <f>+$E$19</f>
        <v>Base</v>
      </c>
      <c r="C66" s="245">
        <f>+'Precios Ref Mercado'!G14</f>
        <v>68.939740571428587</v>
      </c>
      <c r="D66" s="246">
        <f t="shared" ref="D66:D77" si="19">+MAX(0,C66-I47)</f>
        <v>20.229740571428586</v>
      </c>
      <c r="E66" s="246">
        <f>+$G$9</f>
        <v>250</v>
      </c>
      <c r="F66" s="88">
        <f>+J66-I66*24</f>
        <v>744</v>
      </c>
      <c r="G66" s="240">
        <f t="shared" ref="G66:G77" si="20">+D66*E66*F66*$E$81</f>
        <v>3386458.5716571454</v>
      </c>
      <c r="H66" s="26"/>
      <c r="I66" s="88"/>
      <c r="J66" s="88">
        <f>24*31</f>
        <v>744</v>
      </c>
      <c r="K66" s="240">
        <f t="shared" ref="K66:K77" si="21">IF(AND($K$6="Si",$K$4="Si"),+I66*24*$E$81*E66*MAX(0,(C66-$I$61)),0)</f>
        <v>0</v>
      </c>
      <c r="L66" s="471">
        <f>IF($K$4="No",1,IF($K$6="si",1,+F66/J66))</f>
        <v>1</v>
      </c>
      <c r="W66" s="93"/>
    </row>
    <row r="67" spans="1:23" ht="13.5" thickBot="1" x14ac:dyDescent="0.25">
      <c r="A67" s="250" t="s">
        <v>95</v>
      </c>
      <c r="B67" s="251" t="str">
        <f>+B66</f>
        <v>Base</v>
      </c>
      <c r="C67" s="91">
        <f>+'Precios Ref Mercado'!G15</f>
        <v>68.939740571428587</v>
      </c>
      <c r="D67" s="101">
        <f t="shared" si="19"/>
        <v>20.229740571428586</v>
      </c>
      <c r="E67" s="101">
        <f>+$G$9</f>
        <v>250</v>
      </c>
      <c r="F67" s="88">
        <f t="shared" ref="F67:F77" si="22">+J67-I67*24</f>
        <v>672</v>
      </c>
      <c r="G67" s="240">
        <f t="shared" si="20"/>
        <v>3058736.7744000019</v>
      </c>
      <c r="H67" s="26"/>
      <c r="I67" s="88"/>
      <c r="J67" s="88">
        <f>28*24</f>
        <v>672</v>
      </c>
      <c r="K67" s="240">
        <f t="shared" si="21"/>
        <v>0</v>
      </c>
      <c r="L67" s="471">
        <f t="shared" ref="L67:L77" si="23">IF($K$4="No",1,IF($K$6="si",1,+F67/J67))</f>
        <v>1</v>
      </c>
      <c r="W67" s="93"/>
    </row>
    <row r="68" spans="1:23" ht="13.5" thickBot="1" x14ac:dyDescent="0.25">
      <c r="A68" s="250" t="s">
        <v>96</v>
      </c>
      <c r="B68" s="251" t="str">
        <f t="shared" ref="B68:B69" si="24">+B67</f>
        <v>Base</v>
      </c>
      <c r="C68" s="91">
        <f>+'Precios Ref Mercado'!G16</f>
        <v>68.939740571428587</v>
      </c>
      <c r="D68" s="101">
        <f t="shared" si="19"/>
        <v>20.229740571428586</v>
      </c>
      <c r="E68" s="101">
        <f>+$G$9</f>
        <v>250</v>
      </c>
      <c r="F68" s="88">
        <f t="shared" si="22"/>
        <v>744</v>
      </c>
      <c r="G68" s="240">
        <f t="shared" si="20"/>
        <v>3386458.5716571454</v>
      </c>
      <c r="H68" s="26"/>
      <c r="I68" s="88"/>
      <c r="J68" s="88">
        <f>24*31</f>
        <v>744</v>
      </c>
      <c r="K68" s="240">
        <f t="shared" si="21"/>
        <v>0</v>
      </c>
      <c r="L68" s="471">
        <f t="shared" si="23"/>
        <v>1</v>
      </c>
      <c r="W68" s="93"/>
    </row>
    <row r="69" spans="1:23" ht="13.5" thickBot="1" x14ac:dyDescent="0.25">
      <c r="A69" s="258" t="s">
        <v>97</v>
      </c>
      <c r="B69" s="259" t="str">
        <f t="shared" si="24"/>
        <v>Base</v>
      </c>
      <c r="C69" s="274">
        <f>+'Precios Ref Mercado'!G17</f>
        <v>63.861428857142862</v>
      </c>
      <c r="D69" s="275">
        <f t="shared" si="19"/>
        <v>15.151428857142861</v>
      </c>
      <c r="E69" s="275">
        <f>+$G$9</f>
        <v>250</v>
      </c>
      <c r="F69" s="88">
        <f t="shared" si="22"/>
        <v>720</v>
      </c>
      <c r="G69" s="240">
        <f t="shared" si="20"/>
        <v>2454531.4748571436</v>
      </c>
      <c r="H69" s="26"/>
      <c r="I69" s="88"/>
      <c r="J69" s="136">
        <f>30*24</f>
        <v>720</v>
      </c>
      <c r="K69" s="240">
        <f t="shared" si="21"/>
        <v>0</v>
      </c>
      <c r="L69" s="471">
        <f t="shared" si="23"/>
        <v>1</v>
      </c>
      <c r="W69" s="93"/>
    </row>
    <row r="70" spans="1:23" ht="13.5" thickBot="1" x14ac:dyDescent="0.25">
      <c r="A70" s="266" t="s">
        <v>98</v>
      </c>
      <c r="B70" s="267" t="str">
        <f>+B51</f>
        <v>Alternativo</v>
      </c>
      <c r="C70" s="277">
        <f>+'Precios Ref Mercado'!G18</f>
        <v>118.92307692307692</v>
      </c>
      <c r="D70" s="278">
        <f t="shared" si="19"/>
        <v>24.493076923076913</v>
      </c>
      <c r="E70" s="278">
        <f>+$G$10</f>
        <v>250</v>
      </c>
      <c r="F70" s="243">
        <f t="shared" si="22"/>
        <v>744</v>
      </c>
      <c r="G70" s="240">
        <f t="shared" si="20"/>
        <v>4100141.0769230756</v>
      </c>
      <c r="H70" s="26"/>
      <c r="I70" s="88"/>
      <c r="J70" s="243">
        <f>24*31</f>
        <v>744</v>
      </c>
      <c r="K70" s="240">
        <f t="shared" si="21"/>
        <v>0</v>
      </c>
      <c r="L70" s="471">
        <f t="shared" si="23"/>
        <v>1</v>
      </c>
      <c r="W70" s="93"/>
    </row>
    <row r="71" spans="1:23" ht="13.5" thickBot="1" x14ac:dyDescent="0.25">
      <c r="A71" s="254" t="s">
        <v>99</v>
      </c>
      <c r="B71" s="255" t="str">
        <f>+B70</f>
        <v>Alternativo</v>
      </c>
      <c r="C71" s="241">
        <f>+'Precios Ref Mercado'!G19</f>
        <v>128.64335664335664</v>
      </c>
      <c r="D71" s="242">
        <f t="shared" si="19"/>
        <v>34.213356643356633</v>
      </c>
      <c r="E71" s="242">
        <f>+$G$10</f>
        <v>250</v>
      </c>
      <c r="F71" s="243">
        <f t="shared" si="22"/>
        <v>720</v>
      </c>
      <c r="G71" s="240">
        <f t="shared" si="20"/>
        <v>5542563.7762237741</v>
      </c>
      <c r="H71" s="26"/>
      <c r="I71" s="88">
        <f>IF($K$4="Si",+(MAX(0,(($K$5+30)-(31)))/2),0)</f>
        <v>0</v>
      </c>
      <c r="J71" s="243">
        <f>30*24</f>
        <v>720</v>
      </c>
      <c r="K71" s="240">
        <f t="shared" si="21"/>
        <v>0</v>
      </c>
      <c r="L71" s="471">
        <f t="shared" si="23"/>
        <v>1</v>
      </c>
      <c r="W71" s="93"/>
    </row>
    <row r="72" spans="1:23" ht="13.5" thickBot="1" x14ac:dyDescent="0.25">
      <c r="A72" s="254" t="s">
        <v>100</v>
      </c>
      <c r="B72" s="255" t="str">
        <f t="shared" ref="B72:B73" si="25">+B71</f>
        <v>Alternativo</v>
      </c>
      <c r="C72" s="241">
        <f>+'Precios Ref Mercado'!G20</f>
        <v>128.64335664335664</v>
      </c>
      <c r="D72" s="242">
        <f t="shared" si="19"/>
        <v>34.213356643356633</v>
      </c>
      <c r="E72" s="242">
        <f>+$G$10</f>
        <v>250</v>
      </c>
      <c r="F72" s="243">
        <f t="shared" si="22"/>
        <v>744</v>
      </c>
      <c r="G72" s="240">
        <f t="shared" si="20"/>
        <v>5727315.9020978995</v>
      </c>
      <c r="H72" s="26"/>
      <c r="I72" s="88">
        <f>IF($K$4="Si",+MIN(31,$K$5+30),0)</f>
        <v>0</v>
      </c>
      <c r="J72" s="243">
        <f t="shared" ref="J72:J73" si="26">24*31</f>
        <v>744</v>
      </c>
      <c r="K72" s="240">
        <f t="shared" si="21"/>
        <v>0</v>
      </c>
      <c r="L72" s="471">
        <f t="shared" si="23"/>
        <v>1</v>
      </c>
      <c r="W72" s="93"/>
    </row>
    <row r="73" spans="1:23" ht="13.5" thickBot="1" x14ac:dyDescent="0.25">
      <c r="A73" s="272" t="s">
        <v>101</v>
      </c>
      <c r="B73" s="273" t="str">
        <f t="shared" si="25"/>
        <v>Alternativo</v>
      </c>
      <c r="C73" s="241">
        <f>+'Precios Ref Mercado'!G21</f>
        <v>128.64335664335664</v>
      </c>
      <c r="D73" s="242">
        <f t="shared" si="19"/>
        <v>34.213356643356633</v>
      </c>
      <c r="E73" s="242">
        <f>+$G$10</f>
        <v>250</v>
      </c>
      <c r="F73" s="243">
        <f t="shared" si="22"/>
        <v>744</v>
      </c>
      <c r="G73" s="240">
        <f t="shared" si="20"/>
        <v>5727315.9020978995</v>
      </c>
      <c r="H73" s="26"/>
      <c r="I73" s="88">
        <f>IF($K$4="Si",+(MAX(0,(($K$5+30)-(31)))/2),0)</f>
        <v>0</v>
      </c>
      <c r="J73" s="243">
        <f t="shared" si="26"/>
        <v>744</v>
      </c>
      <c r="K73" s="240">
        <f t="shared" si="21"/>
        <v>0</v>
      </c>
      <c r="L73" s="471">
        <f t="shared" si="23"/>
        <v>1</v>
      </c>
      <c r="W73" s="93"/>
    </row>
    <row r="74" spans="1:23" ht="13.5" thickBot="1" x14ac:dyDescent="0.25">
      <c r="A74" s="264" t="s">
        <v>102</v>
      </c>
      <c r="B74" s="265" t="str">
        <f>+B69</f>
        <v>Base</v>
      </c>
      <c r="C74" s="91">
        <f>+'Precios Ref Mercado'!G22</f>
        <v>63.861428857142862</v>
      </c>
      <c r="D74" s="101">
        <f t="shared" si="19"/>
        <v>15.151428857142861</v>
      </c>
      <c r="E74" s="101">
        <f>+$G$11</f>
        <v>250</v>
      </c>
      <c r="F74" s="88">
        <f t="shared" si="22"/>
        <v>720</v>
      </c>
      <c r="G74" s="240">
        <f t="shared" si="20"/>
        <v>2454531.4748571436</v>
      </c>
      <c r="H74" s="26"/>
      <c r="I74" s="88"/>
      <c r="J74" s="276">
        <f>30*24</f>
        <v>720</v>
      </c>
      <c r="K74" s="240">
        <f t="shared" si="21"/>
        <v>0</v>
      </c>
      <c r="L74" s="471">
        <f t="shared" si="23"/>
        <v>1</v>
      </c>
      <c r="W74" s="93"/>
    </row>
    <row r="75" spans="1:23" ht="13.5" thickBot="1" x14ac:dyDescent="0.25">
      <c r="A75" s="250" t="s">
        <v>103</v>
      </c>
      <c r="B75" s="251" t="str">
        <f>+B74</f>
        <v>Base</v>
      </c>
      <c r="C75" s="91">
        <f>+'Precios Ref Mercado'!G23</f>
        <v>63.861428857142862</v>
      </c>
      <c r="D75" s="101">
        <f t="shared" si="19"/>
        <v>15.151428857142861</v>
      </c>
      <c r="E75" s="101">
        <f t="shared" ref="E75:E77" si="27">+$G$11</f>
        <v>250</v>
      </c>
      <c r="F75" s="88">
        <f t="shared" si="22"/>
        <v>744</v>
      </c>
      <c r="G75" s="240">
        <f t="shared" si="20"/>
        <v>2536349.1906857151</v>
      </c>
      <c r="H75" s="26"/>
      <c r="I75" s="88"/>
      <c r="J75" s="88">
        <f>24*31</f>
        <v>744</v>
      </c>
      <c r="K75" s="240">
        <f t="shared" si="21"/>
        <v>0</v>
      </c>
      <c r="L75" s="471">
        <f t="shared" si="23"/>
        <v>1</v>
      </c>
      <c r="W75" s="93"/>
    </row>
    <row r="76" spans="1:23" ht="13.5" thickBot="1" x14ac:dyDescent="0.25">
      <c r="A76" s="250" t="s">
        <v>104</v>
      </c>
      <c r="B76" s="251" t="str">
        <f t="shared" ref="B76:B77" si="28">+B75</f>
        <v>Base</v>
      </c>
      <c r="C76" s="91">
        <f>+'Precios Ref Mercado'!G24</f>
        <v>63.861428857142862</v>
      </c>
      <c r="D76" s="101">
        <f t="shared" si="19"/>
        <v>15.151428857142861</v>
      </c>
      <c r="E76" s="101">
        <f t="shared" si="27"/>
        <v>250</v>
      </c>
      <c r="F76" s="88">
        <f t="shared" si="22"/>
        <v>720</v>
      </c>
      <c r="G76" s="240">
        <f t="shared" si="20"/>
        <v>2454531.4748571436</v>
      </c>
      <c r="H76" s="26"/>
      <c r="I76" s="88"/>
      <c r="J76" s="88">
        <f>30*24</f>
        <v>720</v>
      </c>
      <c r="K76" s="240">
        <f t="shared" si="21"/>
        <v>0</v>
      </c>
      <c r="L76" s="471">
        <f t="shared" si="23"/>
        <v>1</v>
      </c>
      <c r="W76" s="93"/>
    </row>
    <row r="77" spans="1:23" ht="13.5" thickBot="1" x14ac:dyDescent="0.25">
      <c r="A77" s="252" t="s">
        <v>105</v>
      </c>
      <c r="B77" s="253" t="str">
        <f t="shared" si="28"/>
        <v>Base</v>
      </c>
      <c r="C77" s="91">
        <f>+'Precios Ref Mercado'!G25</f>
        <v>68.939740571428587</v>
      </c>
      <c r="D77" s="101">
        <f t="shared" si="19"/>
        <v>20.229740571428586</v>
      </c>
      <c r="E77" s="101">
        <f t="shared" si="27"/>
        <v>250</v>
      </c>
      <c r="F77" s="88">
        <f t="shared" si="22"/>
        <v>744</v>
      </c>
      <c r="G77" s="240">
        <f t="shared" si="20"/>
        <v>3386458.5716571454</v>
      </c>
      <c r="H77" s="4"/>
      <c r="I77" s="88"/>
      <c r="J77" s="88">
        <f>24*31</f>
        <v>744</v>
      </c>
      <c r="K77" s="240">
        <f t="shared" si="21"/>
        <v>0</v>
      </c>
      <c r="L77" s="471">
        <f t="shared" si="23"/>
        <v>1</v>
      </c>
      <c r="W77" s="93"/>
    </row>
    <row r="78" spans="1:23" ht="13.5" thickBot="1" x14ac:dyDescent="0.25">
      <c r="A78" s="99"/>
      <c r="B78" s="99"/>
      <c r="C78" s="99"/>
      <c r="D78" s="99"/>
      <c r="E78" s="99"/>
      <c r="F78" s="99"/>
      <c r="G78" s="105"/>
      <c r="H78" s="4"/>
      <c r="I78" s="99"/>
      <c r="J78" s="99"/>
      <c r="O78" s="99"/>
      <c r="W78" s="90"/>
    </row>
    <row r="79" spans="1:23" s="22" customFormat="1" ht="19.5" customHeight="1" thickBot="1" x14ac:dyDescent="0.25">
      <c r="A79" s="286"/>
      <c r="B79" s="287" t="s">
        <v>107</v>
      </c>
      <c r="C79" s="284">
        <f t="shared" ref="C79" si="29">AVERAGE(C66:C77)</f>
        <v>86.338152047286044</v>
      </c>
      <c r="D79" s="284">
        <f>+AVERAGE(D66:D77)</f>
        <v>22.388152047286052</v>
      </c>
      <c r="E79" s="288"/>
      <c r="F79" s="330" t="s">
        <v>169</v>
      </c>
      <c r="G79" s="333">
        <f>+SUM(G66:G77)+K79</f>
        <v>44215392.761971228</v>
      </c>
      <c r="I79" s="286"/>
      <c r="J79" s="99"/>
      <c r="K79" s="480">
        <f>+SUM(K66:K77)</f>
        <v>0</v>
      </c>
      <c r="O79" s="286"/>
      <c r="P79" s="286"/>
      <c r="W79" s="290"/>
    </row>
    <row r="80" spans="1:23" x14ac:dyDescent="0.2">
      <c r="A80" s="99"/>
      <c r="B80" s="99"/>
      <c r="C80" s="99"/>
      <c r="D80" s="99"/>
      <c r="F80" s="99"/>
      <c r="G80" s="99"/>
      <c r="H80" s="99"/>
      <c r="I80" s="99"/>
      <c r="J80" s="99"/>
      <c r="K80" s="108"/>
      <c r="L80" s="109"/>
      <c r="M80" s="109"/>
      <c r="N80" s="99"/>
      <c r="O80" s="99"/>
      <c r="P80" s="99"/>
      <c r="W80" s="90"/>
    </row>
    <row r="81" spans="1:23" x14ac:dyDescent="0.2">
      <c r="A81" s="99"/>
      <c r="B81" s="99"/>
      <c r="C81" s="99"/>
      <c r="D81" s="111" t="s">
        <v>93</v>
      </c>
      <c r="E81" s="112">
        <f>+'Parámetros Globales'!$D$3</f>
        <v>0.9</v>
      </c>
      <c r="F81" s="99"/>
      <c r="G81" s="110"/>
      <c r="H81" s="99"/>
      <c r="I81" s="99"/>
      <c r="J81" s="99"/>
      <c r="K81" s="99"/>
      <c r="L81" s="99"/>
      <c r="M81" s="99"/>
      <c r="N81" s="99"/>
      <c r="O81" s="99"/>
      <c r="P81" s="99"/>
      <c r="W81" s="90"/>
    </row>
    <row r="82" spans="1:23" x14ac:dyDescent="0.2">
      <c r="A82" s="99"/>
      <c r="B82" s="99"/>
      <c r="C82" s="99"/>
      <c r="D82" s="99"/>
      <c r="E82" s="99"/>
      <c r="F82" s="99"/>
      <c r="G82" s="99"/>
      <c r="H82" s="99"/>
      <c r="I82" s="99"/>
      <c r="J82" s="99"/>
      <c r="K82" s="99"/>
      <c r="L82" s="99"/>
      <c r="M82" s="99"/>
      <c r="N82" s="99"/>
      <c r="O82" s="99"/>
      <c r="P82" s="99"/>
      <c r="W82" s="90"/>
    </row>
    <row r="83" spans="1:23" x14ac:dyDescent="0.2">
      <c r="A83" s="90"/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6"/>
      <c r="V83" s="90"/>
      <c r="W83" s="90"/>
    </row>
    <row r="84" spans="1:23" s="294" customFormat="1" ht="20.25" x14ac:dyDescent="0.3">
      <c r="A84" s="296"/>
      <c r="B84" s="292" t="s">
        <v>162</v>
      </c>
      <c r="C84" s="296"/>
      <c r="D84" s="296"/>
      <c r="E84" s="297"/>
      <c r="F84" s="296"/>
      <c r="G84" s="298"/>
      <c r="H84" s="298"/>
      <c r="I84" s="298"/>
      <c r="J84" s="296"/>
      <c r="K84" s="296"/>
      <c r="L84" s="296"/>
      <c r="M84" s="296"/>
      <c r="N84" s="296"/>
      <c r="O84" s="296"/>
      <c r="P84" s="296"/>
      <c r="Q84" s="296"/>
      <c r="R84" s="296"/>
      <c r="S84" s="296"/>
      <c r="T84" s="296"/>
      <c r="U84" s="296"/>
      <c r="V84" s="296"/>
      <c r="W84" s="296"/>
    </row>
    <row r="85" spans="1:23" ht="13.5" thickBot="1" x14ac:dyDescent="0.25">
      <c r="A85" s="90"/>
      <c r="B85" s="90"/>
      <c r="C85" s="90"/>
      <c r="D85" s="90"/>
      <c r="E85" s="115"/>
      <c r="F85" s="90"/>
      <c r="G85" s="96"/>
      <c r="H85" s="96"/>
      <c r="I85" s="96"/>
      <c r="J85" s="90"/>
      <c r="K85" s="94"/>
      <c r="L85" s="95"/>
      <c r="M85" s="95"/>
      <c r="N85" s="94"/>
      <c r="O85" s="90"/>
      <c r="P85" s="90"/>
      <c r="Q85" s="97"/>
      <c r="R85" s="90"/>
      <c r="S85" s="90"/>
      <c r="T85" s="90"/>
      <c r="U85" s="90"/>
      <c r="V85" s="90"/>
      <c r="W85" s="90"/>
    </row>
    <row r="86" spans="1:23" ht="16.5" thickBot="1" x14ac:dyDescent="0.25">
      <c r="C86" s="30" t="s">
        <v>122</v>
      </c>
      <c r="D86" s="31"/>
      <c r="E86" s="31"/>
      <c r="F86" s="31"/>
      <c r="G86" s="31"/>
      <c r="H86" s="31"/>
      <c r="I86" s="31"/>
      <c r="J86" s="31"/>
      <c r="K86" s="32"/>
    </row>
    <row r="87" spans="1:23" ht="16.5" thickBot="1" x14ac:dyDescent="0.25">
      <c r="C87" s="247"/>
      <c r="D87" s="247"/>
      <c r="E87" s="247"/>
      <c r="F87" s="247"/>
      <c r="G87" s="247"/>
      <c r="H87" s="247"/>
      <c r="I87" s="247"/>
      <c r="J87" s="247"/>
      <c r="K87" s="247"/>
    </row>
    <row r="88" spans="1:23" ht="18.75" thickBot="1" x14ac:dyDescent="0.3">
      <c r="C88" s="617" t="str">
        <f>+CONCATENATE(+IF(G5&gt;0,"Penalización ","Beneficio ")," por Fecha Ingreso U$S/MW mes")</f>
        <v>Beneficio  por Fecha Ingreso U$S/MW mes</v>
      </c>
      <c r="D88" s="618"/>
      <c r="E88" s="299">
        <f>+IF(G5&gt;0,I88*G5,I89*G5)</f>
        <v>0</v>
      </c>
      <c r="F88" s="236" t="s">
        <v>112</v>
      </c>
      <c r="G88" s="19"/>
      <c r="H88" s="12" t="s">
        <v>113</v>
      </c>
      <c r="I88" s="326">
        <f>+'Parámetros Globales'!H9</f>
        <v>240</v>
      </c>
      <c r="J88" s="169" t="s">
        <v>163</v>
      </c>
      <c r="K88" s="19"/>
    </row>
    <row r="89" spans="1:23" ht="17.25" customHeight="1" thickBot="1" x14ac:dyDescent="0.25">
      <c r="C89" s="19"/>
      <c r="G89" s="19"/>
      <c r="H89" s="325" t="s">
        <v>114</v>
      </c>
      <c r="I89" s="327">
        <f>+'Parámetros Globales'!H10</f>
        <v>120</v>
      </c>
      <c r="J89" s="235" t="s">
        <v>163</v>
      </c>
      <c r="K89" s="19"/>
    </row>
    <row r="90" spans="1:23" ht="15" customHeight="1" thickBot="1" x14ac:dyDescent="0.25">
      <c r="A90" s="90"/>
      <c r="B90" s="90"/>
      <c r="C90" s="90"/>
      <c r="D90" s="90"/>
      <c r="E90" s="115"/>
      <c r="F90" s="90"/>
      <c r="G90" s="96"/>
      <c r="H90" s="96"/>
      <c r="I90" s="96"/>
      <c r="J90" s="90"/>
      <c r="K90" s="90"/>
      <c r="L90" s="90"/>
      <c r="M90" s="90"/>
      <c r="N90" s="90"/>
      <c r="O90" s="90"/>
      <c r="P90" s="90"/>
      <c r="Q90" s="90"/>
      <c r="R90" s="90"/>
      <c r="S90" s="90"/>
      <c r="T90" s="90"/>
      <c r="U90" s="90"/>
      <c r="V90" s="90"/>
      <c r="W90" s="90"/>
    </row>
    <row r="91" spans="1:23" ht="63" customHeight="1" thickBot="1" x14ac:dyDescent="0.3">
      <c r="A91" s="98"/>
      <c r="B91" s="98"/>
      <c r="C91" s="136" t="s">
        <v>186</v>
      </c>
      <c r="D91" s="136" t="s">
        <v>111</v>
      </c>
      <c r="E91" s="136" t="str">
        <f>+C88</f>
        <v>Beneficio  por Fecha Ingreso U$S/MW mes</v>
      </c>
      <c r="F91" s="136" t="s">
        <v>187</v>
      </c>
      <c r="G91" s="328" t="s">
        <v>208</v>
      </c>
      <c r="H91" s="136" t="s">
        <v>211</v>
      </c>
      <c r="I91" s="136" t="s">
        <v>207</v>
      </c>
      <c r="J91" s="328" t="s">
        <v>212</v>
      </c>
      <c r="K91" s="328" t="s">
        <v>209</v>
      </c>
      <c r="N91" s="10"/>
      <c r="R91" s="17"/>
    </row>
    <row r="92" spans="1:23" ht="13.5" thickBot="1" x14ac:dyDescent="0.25">
      <c r="A92" s="248" t="s">
        <v>94</v>
      </c>
      <c r="B92" s="249" t="str">
        <f>+$E$19</f>
        <v>Base</v>
      </c>
      <c r="C92" s="124">
        <f>+$E$9</f>
        <v>80</v>
      </c>
      <c r="D92" s="103">
        <f t="shared" ref="D92:D103" si="30">+$E$13</f>
        <v>20000</v>
      </c>
      <c r="E92" s="104">
        <f>+E88</f>
        <v>0</v>
      </c>
      <c r="F92" s="104">
        <f>+D92+E92</f>
        <v>20000</v>
      </c>
      <c r="G92" s="240">
        <f t="shared" ref="G92:G103" si="31">+F92*C92</f>
        <v>1600000</v>
      </c>
      <c r="H92" s="124">
        <f>+E66-C92</f>
        <v>170</v>
      </c>
      <c r="I92" s="104">
        <f>+'Parámetros Globales'!$D$16</f>
        <v>7000</v>
      </c>
      <c r="J92" s="240">
        <f>+H92*I92</f>
        <v>1190000</v>
      </c>
      <c r="K92" s="240">
        <f t="shared" ref="K92:K103" si="32">(+J92+G92)*L66</f>
        <v>2790000</v>
      </c>
    </row>
    <row r="93" spans="1:23" ht="13.5" thickBot="1" x14ac:dyDescent="0.25">
      <c r="A93" s="250" t="s">
        <v>95</v>
      </c>
      <c r="B93" s="251" t="str">
        <f>+B92</f>
        <v>Base</v>
      </c>
      <c r="C93" s="124">
        <f>+$E$9</f>
        <v>80</v>
      </c>
      <c r="D93" s="88">
        <f t="shared" si="30"/>
        <v>20000</v>
      </c>
      <c r="E93" s="88">
        <f>+E92</f>
        <v>0</v>
      </c>
      <c r="F93" s="88">
        <f>+F92</f>
        <v>20000</v>
      </c>
      <c r="G93" s="240">
        <f t="shared" si="31"/>
        <v>1600000</v>
      </c>
      <c r="H93" s="124">
        <f t="shared" ref="H93:H103" si="33">+E67-C93</f>
        <v>170</v>
      </c>
      <c r="I93" s="104">
        <f>+'Parámetros Globales'!$D$16</f>
        <v>7000</v>
      </c>
      <c r="J93" s="240">
        <f t="shared" ref="J93:J103" si="34">+H93*I93</f>
        <v>1190000</v>
      </c>
      <c r="K93" s="240">
        <f t="shared" si="32"/>
        <v>2790000</v>
      </c>
    </row>
    <row r="94" spans="1:23" ht="13.5" thickBot="1" x14ac:dyDescent="0.25">
      <c r="A94" s="250" t="s">
        <v>96</v>
      </c>
      <c r="B94" s="251" t="str">
        <f t="shared" ref="B94:B95" si="35">+B93</f>
        <v>Base</v>
      </c>
      <c r="C94" s="124">
        <f>+$E$9</f>
        <v>80</v>
      </c>
      <c r="D94" s="88">
        <f t="shared" si="30"/>
        <v>20000</v>
      </c>
      <c r="E94" s="88">
        <f t="shared" ref="E94:F103" si="36">+E93</f>
        <v>0</v>
      </c>
      <c r="F94" s="88">
        <f t="shared" si="36"/>
        <v>20000</v>
      </c>
      <c r="G94" s="240">
        <f t="shared" si="31"/>
        <v>1600000</v>
      </c>
      <c r="H94" s="124">
        <f t="shared" si="33"/>
        <v>170</v>
      </c>
      <c r="I94" s="104">
        <f>+'Parámetros Globales'!$D$16</f>
        <v>7000</v>
      </c>
      <c r="J94" s="240">
        <f t="shared" si="34"/>
        <v>1190000</v>
      </c>
      <c r="K94" s="240">
        <f t="shared" si="32"/>
        <v>2790000</v>
      </c>
    </row>
    <row r="95" spans="1:23" ht="13.5" thickBot="1" x14ac:dyDescent="0.25">
      <c r="A95" s="258" t="s">
        <v>97</v>
      </c>
      <c r="B95" s="259" t="str">
        <f t="shared" si="35"/>
        <v>Base</v>
      </c>
      <c r="C95" s="279">
        <f>+$E$9</f>
        <v>80</v>
      </c>
      <c r="D95" s="136">
        <f t="shared" si="30"/>
        <v>20000</v>
      </c>
      <c r="E95" s="136">
        <f t="shared" si="36"/>
        <v>0</v>
      </c>
      <c r="F95" s="136">
        <f t="shared" si="36"/>
        <v>20000</v>
      </c>
      <c r="G95" s="240">
        <f t="shared" si="31"/>
        <v>1600000</v>
      </c>
      <c r="H95" s="279">
        <f t="shared" si="33"/>
        <v>170</v>
      </c>
      <c r="I95" s="104">
        <f>+'Parámetros Globales'!$D$16</f>
        <v>7000</v>
      </c>
      <c r="J95" s="240">
        <f t="shared" si="34"/>
        <v>1190000</v>
      </c>
      <c r="K95" s="240">
        <f t="shared" si="32"/>
        <v>2790000</v>
      </c>
    </row>
    <row r="96" spans="1:23" ht="13.5" thickBot="1" x14ac:dyDescent="0.25">
      <c r="A96" s="266" t="s">
        <v>98</v>
      </c>
      <c r="B96" s="267" t="str">
        <f>+$E$20</f>
        <v>Alternativo</v>
      </c>
      <c r="C96" s="244">
        <f>+$E$10</f>
        <v>80</v>
      </c>
      <c r="D96" s="243">
        <f t="shared" si="30"/>
        <v>20000</v>
      </c>
      <c r="E96" s="243">
        <f t="shared" si="36"/>
        <v>0</v>
      </c>
      <c r="F96" s="243">
        <f t="shared" si="36"/>
        <v>20000</v>
      </c>
      <c r="G96" s="240">
        <f t="shared" si="31"/>
        <v>1600000</v>
      </c>
      <c r="H96" s="244">
        <f t="shared" si="33"/>
        <v>170</v>
      </c>
      <c r="I96" s="104">
        <f>+'Parámetros Globales'!$D$16</f>
        <v>7000</v>
      </c>
      <c r="J96" s="240">
        <f t="shared" si="34"/>
        <v>1190000</v>
      </c>
      <c r="K96" s="240">
        <f t="shared" si="32"/>
        <v>2790000</v>
      </c>
    </row>
    <row r="97" spans="1:11" ht="13.5" thickBot="1" x14ac:dyDescent="0.25">
      <c r="A97" s="254" t="s">
        <v>99</v>
      </c>
      <c r="B97" s="255" t="str">
        <f>+B96</f>
        <v>Alternativo</v>
      </c>
      <c r="C97" s="244">
        <f>+$E$10</f>
        <v>80</v>
      </c>
      <c r="D97" s="243">
        <f t="shared" si="30"/>
        <v>20000</v>
      </c>
      <c r="E97" s="243">
        <f t="shared" si="36"/>
        <v>0</v>
      </c>
      <c r="F97" s="243">
        <f t="shared" si="36"/>
        <v>20000</v>
      </c>
      <c r="G97" s="240">
        <f t="shared" si="31"/>
        <v>1600000</v>
      </c>
      <c r="H97" s="244">
        <f t="shared" si="33"/>
        <v>170</v>
      </c>
      <c r="I97" s="104">
        <f>+'Parámetros Globales'!$D$16</f>
        <v>7000</v>
      </c>
      <c r="J97" s="240">
        <f t="shared" si="34"/>
        <v>1190000</v>
      </c>
      <c r="K97" s="240">
        <f t="shared" si="32"/>
        <v>2790000</v>
      </c>
    </row>
    <row r="98" spans="1:11" ht="13.5" thickBot="1" x14ac:dyDescent="0.25">
      <c r="A98" s="254" t="s">
        <v>100</v>
      </c>
      <c r="B98" s="255" t="str">
        <f t="shared" ref="B98:B99" si="37">+B97</f>
        <v>Alternativo</v>
      </c>
      <c r="C98" s="244">
        <f>+$E$10</f>
        <v>80</v>
      </c>
      <c r="D98" s="243">
        <f t="shared" si="30"/>
        <v>20000</v>
      </c>
      <c r="E98" s="243">
        <f t="shared" si="36"/>
        <v>0</v>
      </c>
      <c r="F98" s="243">
        <f t="shared" si="36"/>
        <v>20000</v>
      </c>
      <c r="G98" s="240">
        <f t="shared" si="31"/>
        <v>1600000</v>
      </c>
      <c r="H98" s="244">
        <f t="shared" si="33"/>
        <v>170</v>
      </c>
      <c r="I98" s="104">
        <f>+'Parámetros Globales'!$D$16</f>
        <v>7000</v>
      </c>
      <c r="J98" s="240">
        <f t="shared" si="34"/>
        <v>1190000</v>
      </c>
      <c r="K98" s="240">
        <f t="shared" si="32"/>
        <v>2790000</v>
      </c>
    </row>
    <row r="99" spans="1:11" ht="13.5" thickBot="1" x14ac:dyDescent="0.25">
      <c r="A99" s="272" t="s">
        <v>101</v>
      </c>
      <c r="B99" s="273" t="str">
        <f t="shared" si="37"/>
        <v>Alternativo</v>
      </c>
      <c r="C99" s="244">
        <f>+$E$10</f>
        <v>80</v>
      </c>
      <c r="D99" s="243">
        <f t="shared" si="30"/>
        <v>20000</v>
      </c>
      <c r="E99" s="243">
        <f t="shared" si="36"/>
        <v>0</v>
      </c>
      <c r="F99" s="243">
        <f t="shared" si="36"/>
        <v>20000</v>
      </c>
      <c r="G99" s="240">
        <f t="shared" si="31"/>
        <v>1600000</v>
      </c>
      <c r="H99" s="244">
        <f t="shared" si="33"/>
        <v>170</v>
      </c>
      <c r="I99" s="104">
        <f>+'Parámetros Globales'!$D$16</f>
        <v>7000</v>
      </c>
      <c r="J99" s="240">
        <f t="shared" si="34"/>
        <v>1190000</v>
      </c>
      <c r="K99" s="240">
        <f t="shared" si="32"/>
        <v>2790000</v>
      </c>
    </row>
    <row r="100" spans="1:11" ht="13.5" thickBot="1" x14ac:dyDescent="0.25">
      <c r="A100" s="264" t="s">
        <v>102</v>
      </c>
      <c r="B100" s="265" t="str">
        <f>+B95</f>
        <v>Base</v>
      </c>
      <c r="C100" s="280">
        <f>+$E$9</f>
        <v>80</v>
      </c>
      <c r="D100" s="276">
        <f t="shared" si="30"/>
        <v>20000</v>
      </c>
      <c r="E100" s="276">
        <f t="shared" si="36"/>
        <v>0</v>
      </c>
      <c r="F100" s="276">
        <f t="shared" si="36"/>
        <v>20000</v>
      </c>
      <c r="G100" s="240">
        <f t="shared" si="31"/>
        <v>1600000</v>
      </c>
      <c r="H100" s="280">
        <f t="shared" si="33"/>
        <v>170</v>
      </c>
      <c r="I100" s="104">
        <f>+'Parámetros Globales'!$D$16</f>
        <v>7000</v>
      </c>
      <c r="J100" s="240">
        <f t="shared" si="34"/>
        <v>1190000</v>
      </c>
      <c r="K100" s="240">
        <f t="shared" si="32"/>
        <v>2790000</v>
      </c>
    </row>
    <row r="101" spans="1:11" ht="13.5" thickBot="1" x14ac:dyDescent="0.25">
      <c r="A101" s="250" t="s">
        <v>103</v>
      </c>
      <c r="B101" s="251" t="str">
        <f>+B100</f>
        <v>Base</v>
      </c>
      <c r="C101" s="124">
        <f>+$E$9</f>
        <v>80</v>
      </c>
      <c r="D101" s="88">
        <f t="shared" si="30"/>
        <v>20000</v>
      </c>
      <c r="E101" s="88">
        <f t="shared" si="36"/>
        <v>0</v>
      </c>
      <c r="F101" s="88">
        <f t="shared" si="36"/>
        <v>20000</v>
      </c>
      <c r="G101" s="240">
        <f t="shared" si="31"/>
        <v>1600000</v>
      </c>
      <c r="H101" s="124">
        <f t="shared" si="33"/>
        <v>170</v>
      </c>
      <c r="I101" s="104">
        <f>+'Parámetros Globales'!$D$16</f>
        <v>7000</v>
      </c>
      <c r="J101" s="240">
        <f t="shared" si="34"/>
        <v>1190000</v>
      </c>
      <c r="K101" s="240">
        <f t="shared" si="32"/>
        <v>2790000</v>
      </c>
    </row>
    <row r="102" spans="1:11" ht="13.5" thickBot="1" x14ac:dyDescent="0.25">
      <c r="A102" s="250" t="s">
        <v>104</v>
      </c>
      <c r="B102" s="251" t="str">
        <f t="shared" ref="B102:B103" si="38">+B101</f>
        <v>Base</v>
      </c>
      <c r="C102" s="124">
        <f>+$E$9</f>
        <v>80</v>
      </c>
      <c r="D102" s="88">
        <f t="shared" si="30"/>
        <v>20000</v>
      </c>
      <c r="E102" s="88">
        <f t="shared" si="36"/>
        <v>0</v>
      </c>
      <c r="F102" s="88">
        <f t="shared" si="36"/>
        <v>20000</v>
      </c>
      <c r="G102" s="240">
        <f t="shared" si="31"/>
        <v>1600000</v>
      </c>
      <c r="H102" s="124">
        <f t="shared" si="33"/>
        <v>170</v>
      </c>
      <c r="I102" s="104">
        <f>+'Parámetros Globales'!$D$16</f>
        <v>7000</v>
      </c>
      <c r="J102" s="240">
        <f t="shared" si="34"/>
        <v>1190000</v>
      </c>
      <c r="K102" s="240">
        <f t="shared" si="32"/>
        <v>2790000</v>
      </c>
    </row>
    <row r="103" spans="1:11" ht="13.5" thickBot="1" x14ac:dyDescent="0.25">
      <c r="A103" s="252" t="s">
        <v>105</v>
      </c>
      <c r="B103" s="253" t="str">
        <f t="shared" si="38"/>
        <v>Base</v>
      </c>
      <c r="C103" s="124">
        <f>+$E$9</f>
        <v>80</v>
      </c>
      <c r="D103" s="88">
        <f t="shared" si="30"/>
        <v>20000</v>
      </c>
      <c r="E103" s="88">
        <f t="shared" si="36"/>
        <v>0</v>
      </c>
      <c r="F103" s="88">
        <f t="shared" si="36"/>
        <v>20000</v>
      </c>
      <c r="G103" s="240">
        <f t="shared" si="31"/>
        <v>1600000</v>
      </c>
      <c r="H103" s="124">
        <f t="shared" si="33"/>
        <v>170</v>
      </c>
      <c r="I103" s="104">
        <f>+'Parámetros Globales'!$D$16</f>
        <v>7000</v>
      </c>
      <c r="J103" s="240">
        <f t="shared" si="34"/>
        <v>1190000</v>
      </c>
      <c r="K103" s="240">
        <f t="shared" si="32"/>
        <v>2790000</v>
      </c>
    </row>
    <row r="104" spans="1:11" ht="13.5" thickBot="1" x14ac:dyDescent="0.25">
      <c r="C104" s="99"/>
      <c r="D104" s="99"/>
      <c r="E104" s="99"/>
      <c r="F104" s="105"/>
      <c r="G104" s="105"/>
      <c r="I104" s="4"/>
      <c r="J104" s="99"/>
      <c r="K104" s="90"/>
    </row>
    <row r="105" spans="1:11" s="19" customFormat="1" ht="18.75" customHeight="1" thickBot="1" x14ac:dyDescent="0.3">
      <c r="B105" s="283" t="s">
        <v>107</v>
      </c>
      <c r="C105" s="284">
        <f>+AVERAGE(C92:C103)</f>
        <v>80</v>
      </c>
      <c r="E105" s="285"/>
      <c r="F105" s="330" t="s">
        <v>213</v>
      </c>
      <c r="G105" s="387">
        <f>+SUM(G92:G103)</f>
        <v>19200000</v>
      </c>
      <c r="J105" s="387">
        <f>+SUM(J92:J103)</f>
        <v>14280000</v>
      </c>
      <c r="K105" s="332">
        <f>+SUM(K92:K103)</f>
        <v>33480000</v>
      </c>
    </row>
    <row r="106" spans="1:11" x14ac:dyDescent="0.2">
      <c r="E106" s="99"/>
      <c r="F106" s="99"/>
      <c r="G106" s="99"/>
      <c r="H106" s="4"/>
      <c r="I106" s="99"/>
      <c r="J106" s="99"/>
    </row>
    <row r="107" spans="1:11" ht="14.25" customHeight="1" x14ac:dyDescent="0.2">
      <c r="C107" s="331"/>
      <c r="H107" s="113"/>
      <c r="I107" s="113"/>
      <c r="J107" s="114"/>
    </row>
    <row r="108" spans="1:11" ht="13.5" thickBot="1" x14ac:dyDescent="0.25"/>
    <row r="109" spans="1:11" ht="37.5" customHeight="1" thickBot="1" x14ac:dyDescent="0.25">
      <c r="D109" s="619" t="s">
        <v>124</v>
      </c>
      <c r="E109" s="620"/>
      <c r="F109" s="282">
        <f>+G79/K105</f>
        <v>1.3206509188163449</v>
      </c>
    </row>
  </sheetData>
  <mergeCells count="6">
    <mergeCell ref="G17:H17"/>
    <mergeCell ref="E18:F18"/>
    <mergeCell ref="C28:D28"/>
    <mergeCell ref="C88:D88"/>
    <mergeCell ref="D109:E109"/>
    <mergeCell ref="H40:I40"/>
  </mergeCell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IF($F$20="Gas",Aux!$F$3:$F$4,IF($F$20="Gas Oil",Aux!$F$5:$F$6,Aux!$F$7:$F$8))</xm:f>
          </x14:formula1>
          <xm:sqref>E34</xm:sqref>
        </x14:dataValidation>
        <x14:dataValidation type="list" allowBlank="1" showInputMessage="1" showErrorMessage="1">
          <x14:formula1>
            <xm:f>Aux!$D$3:$D$6</xm:f>
          </x14:formula1>
          <xm:sqref>F19:F21 M21</xm:sqref>
        </x14:dataValidation>
        <x14:dataValidation type="list" allowBlank="1" showInputMessage="1" showErrorMessage="1">
          <x14:formula1>
            <xm:f>Aux!$B$3:$B$4</xm:f>
          </x14:formula1>
          <xm:sqref>E19:E21</xm:sqref>
        </x14:dataValidation>
        <x14:dataValidation type="list" allowBlank="1" showInputMessage="1" showErrorMessage="1">
          <x14:formula1>
            <xm:f>'PDI Aux'!$B$5:$B$128</xm:f>
          </x14:formula1>
          <xm:sqref>E14</xm:sqref>
        </x14:dataValidation>
        <x14:dataValidation type="list" allowBlank="1" showInputMessage="1" showErrorMessage="1">
          <x14:formula1>
            <xm:f>Aux!$I$3:$I$4</xm:f>
          </x14:formula1>
          <xm:sqref>D29:D31 K4 K6:K7</xm:sqref>
        </x14:dataValidation>
        <x14:dataValidation type="list" allowBlank="1" showInputMessage="1" showErrorMessage="1">
          <x14:formula1>
            <xm:f>IF($F$19="Gas",Aux!$F$3:$F$4,IF($F$19="Gas Oil",Aux!$F$5:$F$6,Aux!$F$7:$F$8))</xm:f>
          </x14:formula1>
          <xm:sqref>E33</xm:sqref>
        </x14:dataValidation>
        <x14:dataValidation type="list" allowBlank="1" showInputMessage="1" showErrorMessage="1">
          <x14:formula1>
            <xm:f>Aux!$F$13:$F$25</xm:f>
          </x14:formula1>
          <xm:sqref>F5</xm:sqref>
        </x14:dataValidation>
        <x14:dataValidation type="list" allowBlank="1" showInputMessage="1" showErrorMessage="1">
          <x14:formula1>
            <xm:f>Aux!$J$13:$J$53</xm:f>
          </x14:formula1>
          <xm:sqref>K5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/>
  <dimension ref="A1:X140"/>
  <sheetViews>
    <sheetView topLeftCell="A103" zoomScale="85" zoomScaleNormal="85" workbookViewId="0">
      <selection activeCell="A78" sqref="A78:I114"/>
    </sheetView>
  </sheetViews>
  <sheetFormatPr baseColWidth="10" defaultRowHeight="12.75" x14ac:dyDescent="0.2"/>
  <cols>
    <col min="1" max="1" width="8" style="4" customWidth="1"/>
    <col min="2" max="2" width="14.42578125" style="4" customWidth="1"/>
    <col min="3" max="3" width="18" style="4" customWidth="1"/>
    <col min="4" max="4" width="33.140625" style="4" customWidth="1"/>
    <col min="5" max="5" width="17.5703125" style="4" customWidth="1"/>
    <col min="6" max="6" width="23.5703125" style="4" customWidth="1"/>
    <col min="7" max="7" width="21.28515625" style="5" customWidth="1"/>
    <col min="8" max="8" width="24.85546875" style="5" customWidth="1"/>
    <col min="9" max="9" width="23.28515625" style="5" customWidth="1"/>
    <col min="10" max="10" width="22.28515625" style="4" customWidth="1"/>
    <col min="11" max="11" width="22.140625" style="4" bestFit="1" customWidth="1"/>
    <col min="12" max="12" width="16.42578125" style="4" bestFit="1" customWidth="1"/>
    <col min="13" max="13" width="11.42578125" style="4"/>
    <col min="14" max="14" width="17" style="4" customWidth="1"/>
    <col min="15" max="15" width="30.5703125" style="4" bestFit="1" customWidth="1"/>
    <col min="16" max="16" width="12.7109375" style="4" customWidth="1"/>
    <col min="17" max="18" width="11.42578125" style="4"/>
    <col min="19" max="19" width="14.5703125" style="4" bestFit="1" customWidth="1"/>
    <col min="20" max="21" width="16.42578125" style="4" bestFit="1" customWidth="1"/>
    <col min="22" max="22" width="14.85546875" style="4" customWidth="1"/>
    <col min="23" max="242" width="11.42578125" style="4"/>
    <col min="243" max="243" width="12.7109375" style="4" bestFit="1" customWidth="1"/>
    <col min="244" max="246" width="11.42578125" style="4"/>
    <col min="247" max="248" width="11.7109375" style="4" bestFit="1" customWidth="1"/>
    <col min="249" max="498" width="11.42578125" style="4"/>
    <col min="499" max="499" width="12.7109375" style="4" bestFit="1" customWidth="1"/>
    <col min="500" max="502" width="11.42578125" style="4"/>
    <col min="503" max="504" width="11.7109375" style="4" bestFit="1" customWidth="1"/>
    <col min="505" max="754" width="11.42578125" style="4"/>
    <col min="755" max="755" width="12.7109375" style="4" bestFit="1" customWidth="1"/>
    <col min="756" max="758" width="11.42578125" style="4"/>
    <col min="759" max="760" width="11.7109375" style="4" bestFit="1" customWidth="1"/>
    <col min="761" max="1010" width="11.42578125" style="4"/>
    <col min="1011" max="1011" width="12.7109375" style="4" bestFit="1" customWidth="1"/>
    <col min="1012" max="1014" width="11.42578125" style="4"/>
    <col min="1015" max="1016" width="11.7109375" style="4" bestFit="1" customWidth="1"/>
    <col min="1017" max="1266" width="11.42578125" style="4"/>
    <col min="1267" max="1267" width="12.7109375" style="4" bestFit="1" customWidth="1"/>
    <col min="1268" max="1270" width="11.42578125" style="4"/>
    <col min="1271" max="1272" width="11.7109375" style="4" bestFit="1" customWidth="1"/>
    <col min="1273" max="1522" width="11.42578125" style="4"/>
    <col min="1523" max="1523" width="12.7109375" style="4" bestFit="1" customWidth="1"/>
    <col min="1524" max="1526" width="11.42578125" style="4"/>
    <col min="1527" max="1528" width="11.7109375" style="4" bestFit="1" customWidth="1"/>
    <col min="1529" max="1778" width="11.42578125" style="4"/>
    <col min="1779" max="1779" width="12.7109375" style="4" bestFit="1" customWidth="1"/>
    <col min="1780" max="1782" width="11.42578125" style="4"/>
    <col min="1783" max="1784" width="11.7109375" style="4" bestFit="1" customWidth="1"/>
    <col min="1785" max="2034" width="11.42578125" style="4"/>
    <col min="2035" max="2035" width="12.7109375" style="4" bestFit="1" customWidth="1"/>
    <col min="2036" max="2038" width="11.42578125" style="4"/>
    <col min="2039" max="2040" width="11.7109375" style="4" bestFit="1" customWidth="1"/>
    <col min="2041" max="2290" width="11.42578125" style="4"/>
    <col min="2291" max="2291" width="12.7109375" style="4" bestFit="1" customWidth="1"/>
    <col min="2292" max="2294" width="11.42578125" style="4"/>
    <col min="2295" max="2296" width="11.7109375" style="4" bestFit="1" customWidth="1"/>
    <col min="2297" max="2546" width="11.42578125" style="4"/>
    <col min="2547" max="2547" width="12.7109375" style="4" bestFit="1" customWidth="1"/>
    <col min="2548" max="2550" width="11.42578125" style="4"/>
    <col min="2551" max="2552" width="11.7109375" style="4" bestFit="1" customWidth="1"/>
    <col min="2553" max="2802" width="11.42578125" style="4"/>
    <col min="2803" max="2803" width="12.7109375" style="4" bestFit="1" customWidth="1"/>
    <col min="2804" max="2806" width="11.42578125" style="4"/>
    <col min="2807" max="2808" width="11.7109375" style="4" bestFit="1" customWidth="1"/>
    <col min="2809" max="3058" width="11.42578125" style="4"/>
    <col min="3059" max="3059" width="12.7109375" style="4" bestFit="1" customWidth="1"/>
    <col min="3060" max="3062" width="11.42578125" style="4"/>
    <col min="3063" max="3064" width="11.7109375" style="4" bestFit="1" customWidth="1"/>
    <col min="3065" max="3314" width="11.42578125" style="4"/>
    <col min="3315" max="3315" width="12.7109375" style="4" bestFit="1" customWidth="1"/>
    <col min="3316" max="3318" width="11.42578125" style="4"/>
    <col min="3319" max="3320" width="11.7109375" style="4" bestFit="1" customWidth="1"/>
    <col min="3321" max="3570" width="11.42578125" style="4"/>
    <col min="3571" max="3571" width="12.7109375" style="4" bestFit="1" customWidth="1"/>
    <col min="3572" max="3574" width="11.42578125" style="4"/>
    <col min="3575" max="3576" width="11.7109375" style="4" bestFit="1" customWidth="1"/>
    <col min="3577" max="3826" width="11.42578125" style="4"/>
    <col min="3827" max="3827" width="12.7109375" style="4" bestFit="1" customWidth="1"/>
    <col min="3828" max="3830" width="11.42578125" style="4"/>
    <col min="3831" max="3832" width="11.7109375" style="4" bestFit="1" customWidth="1"/>
    <col min="3833" max="4082" width="11.42578125" style="4"/>
    <col min="4083" max="4083" width="12.7109375" style="4" bestFit="1" customWidth="1"/>
    <col min="4084" max="4086" width="11.42578125" style="4"/>
    <col min="4087" max="4088" width="11.7109375" style="4" bestFit="1" customWidth="1"/>
    <col min="4089" max="4338" width="11.42578125" style="4"/>
    <col min="4339" max="4339" width="12.7109375" style="4" bestFit="1" customWidth="1"/>
    <col min="4340" max="4342" width="11.42578125" style="4"/>
    <col min="4343" max="4344" width="11.7109375" style="4" bestFit="1" customWidth="1"/>
    <col min="4345" max="4594" width="11.42578125" style="4"/>
    <col min="4595" max="4595" width="12.7109375" style="4" bestFit="1" customWidth="1"/>
    <col min="4596" max="4598" width="11.42578125" style="4"/>
    <col min="4599" max="4600" width="11.7109375" style="4" bestFit="1" customWidth="1"/>
    <col min="4601" max="4850" width="11.42578125" style="4"/>
    <col min="4851" max="4851" width="12.7109375" style="4" bestFit="1" customWidth="1"/>
    <col min="4852" max="4854" width="11.42578125" style="4"/>
    <col min="4855" max="4856" width="11.7109375" style="4" bestFit="1" customWidth="1"/>
    <col min="4857" max="5106" width="11.42578125" style="4"/>
    <col min="5107" max="5107" width="12.7109375" style="4" bestFit="1" customWidth="1"/>
    <col min="5108" max="5110" width="11.42578125" style="4"/>
    <col min="5111" max="5112" width="11.7109375" style="4" bestFit="1" customWidth="1"/>
    <col min="5113" max="5362" width="11.42578125" style="4"/>
    <col min="5363" max="5363" width="12.7109375" style="4" bestFit="1" customWidth="1"/>
    <col min="5364" max="5366" width="11.42578125" style="4"/>
    <col min="5367" max="5368" width="11.7109375" style="4" bestFit="1" customWidth="1"/>
    <col min="5369" max="5618" width="11.42578125" style="4"/>
    <col min="5619" max="5619" width="12.7109375" style="4" bestFit="1" customWidth="1"/>
    <col min="5620" max="5622" width="11.42578125" style="4"/>
    <col min="5623" max="5624" width="11.7109375" style="4" bestFit="1" customWidth="1"/>
    <col min="5625" max="5874" width="11.42578125" style="4"/>
    <col min="5875" max="5875" width="12.7109375" style="4" bestFit="1" customWidth="1"/>
    <col min="5876" max="5878" width="11.42578125" style="4"/>
    <col min="5879" max="5880" width="11.7109375" style="4" bestFit="1" customWidth="1"/>
    <col min="5881" max="6130" width="11.42578125" style="4"/>
    <col min="6131" max="6131" width="12.7109375" style="4" bestFit="1" customWidth="1"/>
    <col min="6132" max="6134" width="11.42578125" style="4"/>
    <col min="6135" max="6136" width="11.7109375" style="4" bestFit="1" customWidth="1"/>
    <col min="6137" max="6386" width="11.42578125" style="4"/>
    <col min="6387" max="6387" width="12.7109375" style="4" bestFit="1" customWidth="1"/>
    <col min="6388" max="6390" width="11.42578125" style="4"/>
    <col min="6391" max="6392" width="11.7109375" style="4" bestFit="1" customWidth="1"/>
    <col min="6393" max="6642" width="11.42578125" style="4"/>
    <col min="6643" max="6643" width="12.7109375" style="4" bestFit="1" customWidth="1"/>
    <col min="6644" max="6646" width="11.42578125" style="4"/>
    <col min="6647" max="6648" width="11.7109375" style="4" bestFit="1" customWidth="1"/>
    <col min="6649" max="6898" width="11.42578125" style="4"/>
    <col min="6899" max="6899" width="12.7109375" style="4" bestFit="1" customWidth="1"/>
    <col min="6900" max="6902" width="11.42578125" style="4"/>
    <col min="6903" max="6904" width="11.7109375" style="4" bestFit="1" customWidth="1"/>
    <col min="6905" max="7154" width="11.42578125" style="4"/>
    <col min="7155" max="7155" width="12.7109375" style="4" bestFit="1" customWidth="1"/>
    <col min="7156" max="7158" width="11.42578125" style="4"/>
    <col min="7159" max="7160" width="11.7109375" style="4" bestFit="1" customWidth="1"/>
    <col min="7161" max="7410" width="11.42578125" style="4"/>
    <col min="7411" max="7411" width="12.7109375" style="4" bestFit="1" customWidth="1"/>
    <col min="7412" max="7414" width="11.42578125" style="4"/>
    <col min="7415" max="7416" width="11.7109375" style="4" bestFit="1" customWidth="1"/>
    <col min="7417" max="7666" width="11.42578125" style="4"/>
    <col min="7667" max="7667" width="12.7109375" style="4" bestFit="1" customWidth="1"/>
    <col min="7668" max="7670" width="11.42578125" style="4"/>
    <col min="7671" max="7672" width="11.7109375" style="4" bestFit="1" customWidth="1"/>
    <col min="7673" max="7922" width="11.42578125" style="4"/>
    <col min="7923" max="7923" width="12.7109375" style="4" bestFit="1" customWidth="1"/>
    <col min="7924" max="7926" width="11.42578125" style="4"/>
    <col min="7927" max="7928" width="11.7109375" style="4" bestFit="1" customWidth="1"/>
    <col min="7929" max="8178" width="11.42578125" style="4"/>
    <col min="8179" max="8179" width="12.7109375" style="4" bestFit="1" customWidth="1"/>
    <col min="8180" max="8182" width="11.42578125" style="4"/>
    <col min="8183" max="8184" width="11.7109375" style="4" bestFit="1" customWidth="1"/>
    <col min="8185" max="8434" width="11.42578125" style="4"/>
    <col min="8435" max="8435" width="12.7109375" style="4" bestFit="1" customWidth="1"/>
    <col min="8436" max="8438" width="11.42578125" style="4"/>
    <col min="8439" max="8440" width="11.7109375" style="4" bestFit="1" customWidth="1"/>
    <col min="8441" max="8690" width="11.42578125" style="4"/>
    <col min="8691" max="8691" width="12.7109375" style="4" bestFit="1" customWidth="1"/>
    <col min="8692" max="8694" width="11.42578125" style="4"/>
    <col min="8695" max="8696" width="11.7109375" style="4" bestFit="1" customWidth="1"/>
    <col min="8697" max="8946" width="11.42578125" style="4"/>
    <col min="8947" max="8947" width="12.7109375" style="4" bestFit="1" customWidth="1"/>
    <col min="8948" max="8950" width="11.42578125" style="4"/>
    <col min="8951" max="8952" width="11.7109375" style="4" bestFit="1" customWidth="1"/>
    <col min="8953" max="9202" width="11.42578125" style="4"/>
    <col min="9203" max="9203" width="12.7109375" style="4" bestFit="1" customWidth="1"/>
    <col min="9204" max="9206" width="11.42578125" style="4"/>
    <col min="9207" max="9208" width="11.7109375" style="4" bestFit="1" customWidth="1"/>
    <col min="9209" max="9458" width="11.42578125" style="4"/>
    <col min="9459" max="9459" width="12.7109375" style="4" bestFit="1" customWidth="1"/>
    <col min="9460" max="9462" width="11.42578125" style="4"/>
    <col min="9463" max="9464" width="11.7109375" style="4" bestFit="1" customWidth="1"/>
    <col min="9465" max="9714" width="11.42578125" style="4"/>
    <col min="9715" max="9715" width="12.7109375" style="4" bestFit="1" customWidth="1"/>
    <col min="9716" max="9718" width="11.42578125" style="4"/>
    <col min="9719" max="9720" width="11.7109375" style="4" bestFit="1" customWidth="1"/>
    <col min="9721" max="9970" width="11.42578125" style="4"/>
    <col min="9971" max="9971" width="12.7109375" style="4" bestFit="1" customWidth="1"/>
    <col min="9972" max="9974" width="11.42578125" style="4"/>
    <col min="9975" max="9976" width="11.7109375" style="4" bestFit="1" customWidth="1"/>
    <col min="9977" max="10226" width="11.42578125" style="4"/>
    <col min="10227" max="10227" width="12.7109375" style="4" bestFit="1" customWidth="1"/>
    <col min="10228" max="10230" width="11.42578125" style="4"/>
    <col min="10231" max="10232" width="11.7109375" style="4" bestFit="1" customWidth="1"/>
    <col min="10233" max="10482" width="11.42578125" style="4"/>
    <col min="10483" max="10483" width="12.7109375" style="4" bestFit="1" customWidth="1"/>
    <col min="10484" max="10486" width="11.42578125" style="4"/>
    <col min="10487" max="10488" width="11.7109375" style="4" bestFit="1" customWidth="1"/>
    <col min="10489" max="10738" width="11.42578125" style="4"/>
    <col min="10739" max="10739" width="12.7109375" style="4" bestFit="1" customWidth="1"/>
    <col min="10740" max="10742" width="11.42578125" style="4"/>
    <col min="10743" max="10744" width="11.7109375" style="4" bestFit="1" customWidth="1"/>
    <col min="10745" max="10994" width="11.42578125" style="4"/>
    <col min="10995" max="10995" width="12.7109375" style="4" bestFit="1" customWidth="1"/>
    <col min="10996" max="10998" width="11.42578125" style="4"/>
    <col min="10999" max="11000" width="11.7109375" style="4" bestFit="1" customWidth="1"/>
    <col min="11001" max="11250" width="11.42578125" style="4"/>
    <col min="11251" max="11251" width="12.7109375" style="4" bestFit="1" customWidth="1"/>
    <col min="11252" max="11254" width="11.42578125" style="4"/>
    <col min="11255" max="11256" width="11.7109375" style="4" bestFit="1" customWidth="1"/>
    <col min="11257" max="11506" width="11.42578125" style="4"/>
    <col min="11507" max="11507" width="12.7109375" style="4" bestFit="1" customWidth="1"/>
    <col min="11508" max="11510" width="11.42578125" style="4"/>
    <col min="11511" max="11512" width="11.7109375" style="4" bestFit="1" customWidth="1"/>
    <col min="11513" max="11762" width="11.42578125" style="4"/>
    <col min="11763" max="11763" width="12.7109375" style="4" bestFit="1" customWidth="1"/>
    <col min="11764" max="11766" width="11.42578125" style="4"/>
    <col min="11767" max="11768" width="11.7109375" style="4" bestFit="1" customWidth="1"/>
    <col min="11769" max="12018" width="11.42578125" style="4"/>
    <col min="12019" max="12019" width="12.7109375" style="4" bestFit="1" customWidth="1"/>
    <col min="12020" max="12022" width="11.42578125" style="4"/>
    <col min="12023" max="12024" width="11.7109375" style="4" bestFit="1" customWidth="1"/>
    <col min="12025" max="12274" width="11.42578125" style="4"/>
    <col min="12275" max="12275" width="12.7109375" style="4" bestFit="1" customWidth="1"/>
    <col min="12276" max="12278" width="11.42578125" style="4"/>
    <col min="12279" max="12280" width="11.7109375" style="4" bestFit="1" customWidth="1"/>
    <col min="12281" max="12530" width="11.42578125" style="4"/>
    <col min="12531" max="12531" width="12.7109375" style="4" bestFit="1" customWidth="1"/>
    <col min="12532" max="12534" width="11.42578125" style="4"/>
    <col min="12535" max="12536" width="11.7109375" style="4" bestFit="1" customWidth="1"/>
    <col min="12537" max="12786" width="11.42578125" style="4"/>
    <col min="12787" max="12787" width="12.7109375" style="4" bestFit="1" customWidth="1"/>
    <col min="12788" max="12790" width="11.42578125" style="4"/>
    <col min="12791" max="12792" width="11.7109375" style="4" bestFit="1" customWidth="1"/>
    <col min="12793" max="13042" width="11.42578125" style="4"/>
    <col min="13043" max="13043" width="12.7109375" style="4" bestFit="1" customWidth="1"/>
    <col min="13044" max="13046" width="11.42578125" style="4"/>
    <col min="13047" max="13048" width="11.7109375" style="4" bestFit="1" customWidth="1"/>
    <col min="13049" max="13298" width="11.42578125" style="4"/>
    <col min="13299" max="13299" width="12.7109375" style="4" bestFit="1" customWidth="1"/>
    <col min="13300" max="13302" width="11.42578125" style="4"/>
    <col min="13303" max="13304" width="11.7109375" style="4" bestFit="1" customWidth="1"/>
    <col min="13305" max="13554" width="11.42578125" style="4"/>
    <col min="13555" max="13555" width="12.7109375" style="4" bestFit="1" customWidth="1"/>
    <col min="13556" max="13558" width="11.42578125" style="4"/>
    <col min="13559" max="13560" width="11.7109375" style="4" bestFit="1" customWidth="1"/>
    <col min="13561" max="13810" width="11.42578125" style="4"/>
    <col min="13811" max="13811" width="12.7109375" style="4" bestFit="1" customWidth="1"/>
    <col min="13812" max="13814" width="11.42578125" style="4"/>
    <col min="13815" max="13816" width="11.7109375" style="4" bestFit="1" customWidth="1"/>
    <col min="13817" max="14066" width="11.42578125" style="4"/>
    <col min="14067" max="14067" width="12.7109375" style="4" bestFit="1" customWidth="1"/>
    <col min="14068" max="14070" width="11.42578125" style="4"/>
    <col min="14071" max="14072" width="11.7109375" style="4" bestFit="1" customWidth="1"/>
    <col min="14073" max="14322" width="11.42578125" style="4"/>
    <col min="14323" max="14323" width="12.7109375" style="4" bestFit="1" customWidth="1"/>
    <col min="14324" max="14326" width="11.42578125" style="4"/>
    <col min="14327" max="14328" width="11.7109375" style="4" bestFit="1" customWidth="1"/>
    <col min="14329" max="14578" width="11.42578125" style="4"/>
    <col min="14579" max="14579" width="12.7109375" style="4" bestFit="1" customWidth="1"/>
    <col min="14580" max="14582" width="11.42578125" style="4"/>
    <col min="14583" max="14584" width="11.7109375" style="4" bestFit="1" customWidth="1"/>
    <col min="14585" max="14834" width="11.42578125" style="4"/>
    <col min="14835" max="14835" width="12.7109375" style="4" bestFit="1" customWidth="1"/>
    <col min="14836" max="14838" width="11.42578125" style="4"/>
    <col min="14839" max="14840" width="11.7109375" style="4" bestFit="1" customWidth="1"/>
    <col min="14841" max="15090" width="11.42578125" style="4"/>
    <col min="15091" max="15091" width="12.7109375" style="4" bestFit="1" customWidth="1"/>
    <col min="15092" max="15094" width="11.42578125" style="4"/>
    <col min="15095" max="15096" width="11.7109375" style="4" bestFit="1" customWidth="1"/>
    <col min="15097" max="15346" width="11.42578125" style="4"/>
    <col min="15347" max="15347" width="12.7109375" style="4" bestFit="1" customWidth="1"/>
    <col min="15348" max="15350" width="11.42578125" style="4"/>
    <col min="15351" max="15352" width="11.7109375" style="4" bestFit="1" customWidth="1"/>
    <col min="15353" max="15602" width="11.42578125" style="4"/>
    <col min="15603" max="15603" width="12.7109375" style="4" bestFit="1" customWidth="1"/>
    <col min="15604" max="15606" width="11.42578125" style="4"/>
    <col min="15607" max="15608" width="11.7109375" style="4" bestFit="1" customWidth="1"/>
    <col min="15609" max="15858" width="11.42578125" style="4"/>
    <col min="15859" max="15859" width="12.7109375" style="4" bestFit="1" customWidth="1"/>
    <col min="15860" max="15862" width="11.42578125" style="4"/>
    <col min="15863" max="15864" width="11.7109375" style="4" bestFit="1" customWidth="1"/>
    <col min="15865" max="16114" width="11.42578125" style="4"/>
    <col min="16115" max="16115" width="12.7109375" style="4" bestFit="1" customWidth="1"/>
    <col min="16116" max="16118" width="11.42578125" style="4"/>
    <col min="16119" max="16120" width="11.7109375" style="4" bestFit="1" customWidth="1"/>
    <col min="16121" max="16384" width="11.42578125" style="4"/>
  </cols>
  <sheetData>
    <row r="1" spans="2:13" ht="13.5" thickBot="1" x14ac:dyDescent="0.25"/>
    <row r="2" spans="2:13" s="19" customFormat="1" ht="33.75" customHeight="1" thickBot="1" x14ac:dyDescent="0.3">
      <c r="C2" s="85" t="s">
        <v>121</v>
      </c>
      <c r="H2" s="139" t="s">
        <v>124</v>
      </c>
      <c r="I2" s="281">
        <f>+ROUND(F140,3)</f>
        <v>1.306</v>
      </c>
      <c r="L2" s="85"/>
      <c r="M2" s="85"/>
    </row>
    <row r="3" spans="2:13" s="19" customFormat="1" ht="30" customHeight="1" thickBot="1" x14ac:dyDescent="0.3">
      <c r="K3" s="22"/>
      <c r="L3" s="22"/>
      <c r="M3" s="22"/>
    </row>
    <row r="4" spans="2:13" s="19" customFormat="1" ht="21" customHeight="1" thickBot="1" x14ac:dyDescent="0.3">
      <c r="E4" s="141" t="s">
        <v>153</v>
      </c>
      <c r="F4" s="142" t="s">
        <v>157</v>
      </c>
      <c r="J4" s="472" t="s">
        <v>295</v>
      </c>
      <c r="K4" s="473" t="s">
        <v>155</v>
      </c>
      <c r="L4" s="22"/>
      <c r="M4" s="22"/>
    </row>
    <row r="5" spans="2:13" s="132" customFormat="1" ht="36.75" customHeight="1" thickBot="1" x14ac:dyDescent="0.25">
      <c r="D5" s="383" t="s">
        <v>158</v>
      </c>
      <c r="E5" s="189">
        <f>+'Parámetros Globales'!$D$8</f>
        <v>30</v>
      </c>
      <c r="F5" s="140">
        <v>31</v>
      </c>
      <c r="G5" s="340">
        <f>+F5-E5</f>
        <v>1</v>
      </c>
      <c r="H5" s="341" t="str">
        <f>+(IF(G5&gt;=0,"Meses Atraso","Meses Adelanto"))</f>
        <v>Meses Atraso</v>
      </c>
      <c r="J5" s="475" t="s">
        <v>294</v>
      </c>
      <c r="K5" s="474">
        <v>15</v>
      </c>
      <c r="L5" s="5"/>
      <c r="M5" s="5"/>
    </row>
    <row r="6" spans="2:13" s="19" customFormat="1" ht="33.75" customHeight="1" thickBot="1" x14ac:dyDescent="0.3">
      <c r="C6" s="4"/>
      <c r="D6" s="4"/>
      <c r="E6" s="122"/>
      <c r="F6" s="121"/>
      <c r="G6" s="120"/>
      <c r="H6" s="4"/>
      <c r="J6" s="475" t="s">
        <v>296</v>
      </c>
      <c r="K6" s="478" t="s">
        <v>155</v>
      </c>
      <c r="L6" s="22"/>
      <c r="M6" s="22"/>
    </row>
    <row r="7" spans="2:13" s="19" customFormat="1" ht="33.75" customHeight="1" thickBot="1" x14ac:dyDescent="0.3">
      <c r="C7" s="4"/>
      <c r="D7" s="4"/>
      <c r="E7" s="122"/>
      <c r="F7" s="121"/>
      <c r="G7" s="120"/>
      <c r="H7" s="4"/>
      <c r="J7" s="476"/>
      <c r="K7" s="477"/>
      <c r="L7" s="22"/>
      <c r="M7" s="22"/>
    </row>
    <row r="8" spans="2:13" s="19" customFormat="1" ht="15.75" customHeight="1" thickBot="1" x14ac:dyDescent="0.3">
      <c r="B8" s="20"/>
      <c r="D8" s="36" t="s">
        <v>177</v>
      </c>
      <c r="E8" s="322" t="s">
        <v>170</v>
      </c>
      <c r="F8" s="353"/>
      <c r="G8" s="354"/>
      <c r="H8" s="355"/>
      <c r="I8" s="77"/>
      <c r="J8" s="127"/>
    </row>
    <row r="9" spans="2:13" s="19" customFormat="1" ht="15.75" customHeight="1" x14ac:dyDescent="0.25">
      <c r="C9" s="128" t="s">
        <v>145</v>
      </c>
      <c r="D9" s="143" t="s">
        <v>147</v>
      </c>
      <c r="E9" s="151">
        <v>100</v>
      </c>
      <c r="F9" s="356"/>
      <c r="G9" s="357"/>
      <c r="H9" s="358"/>
      <c r="I9" s="4"/>
      <c r="J9" s="365"/>
      <c r="K9" s="366"/>
      <c r="L9" s="367"/>
    </row>
    <row r="10" spans="2:13" s="19" customFormat="1" ht="15.75" customHeight="1" x14ac:dyDescent="0.25">
      <c r="C10" s="128" t="s">
        <v>146</v>
      </c>
      <c r="D10" s="145" t="s">
        <v>117</v>
      </c>
      <c r="E10" s="153">
        <v>110</v>
      </c>
      <c r="F10" s="359"/>
      <c r="G10" s="360"/>
      <c r="H10" s="361"/>
      <c r="I10" s="4"/>
      <c r="J10" s="368"/>
      <c r="K10" s="369"/>
      <c r="L10" s="370"/>
    </row>
    <row r="11" spans="2:13" s="19" customFormat="1" ht="16.5" thickBot="1" x14ac:dyDescent="0.3">
      <c r="C11" s="128" t="s">
        <v>145</v>
      </c>
      <c r="D11" s="147" t="s">
        <v>148</v>
      </c>
      <c r="E11" s="155">
        <v>90</v>
      </c>
      <c r="F11" s="362"/>
      <c r="G11" s="363"/>
      <c r="H11" s="364"/>
      <c r="J11" s="371"/>
      <c r="K11" s="372"/>
      <c r="L11" s="373"/>
      <c r="M11" s="22"/>
    </row>
    <row r="12" spans="2:13" s="19" customFormat="1" ht="16.5" thickBot="1" x14ac:dyDescent="0.3">
      <c r="C12" s="128"/>
      <c r="D12" s="24"/>
      <c r="E12" s="80"/>
      <c r="F12" s="80"/>
      <c r="G12" s="129"/>
      <c r="H12" s="11"/>
      <c r="J12" s="130"/>
      <c r="K12" s="11"/>
      <c r="L12" s="4"/>
      <c r="M12" s="22"/>
    </row>
    <row r="13" spans="2:13" s="19" customFormat="1" ht="15.75" x14ac:dyDescent="0.25">
      <c r="D13" s="334" t="s">
        <v>111</v>
      </c>
      <c r="E13" s="338">
        <v>15000</v>
      </c>
      <c r="F13" s="144" t="s">
        <v>112</v>
      </c>
      <c r="G13" s="382"/>
      <c r="H13" s="5"/>
      <c r="J13" s="130"/>
      <c r="K13" s="11"/>
      <c r="L13" s="4"/>
      <c r="M13" s="22"/>
    </row>
    <row r="14" spans="2:13" s="19" customFormat="1" ht="15.75" x14ac:dyDescent="0.25">
      <c r="D14" s="335" t="s">
        <v>1</v>
      </c>
      <c r="E14" s="86">
        <v>181</v>
      </c>
      <c r="F14" s="146" t="str">
        <f>+VLOOKUP($E$14,'PDI Aux'!$B$5:$S$115,2,FALSE)</f>
        <v xml:space="preserve">RAMALLO </v>
      </c>
      <c r="G14" s="19" t="s">
        <v>150</v>
      </c>
      <c r="H14" s="5"/>
      <c r="J14" s="130"/>
      <c r="K14" s="11"/>
      <c r="L14" s="4"/>
      <c r="M14" s="22"/>
    </row>
    <row r="15" spans="2:13" s="19" customFormat="1" ht="16.5" thickBot="1" x14ac:dyDescent="0.3">
      <c r="D15" s="336" t="s">
        <v>151</v>
      </c>
      <c r="E15" s="339">
        <f>+VLOOKUP($E$14,'PDI Aux'!$B$5:$S$115,5,FALSE)</f>
        <v>1.0369999999999999</v>
      </c>
      <c r="F15" s="337"/>
      <c r="H15" s="5"/>
      <c r="J15" s="130"/>
      <c r="K15" s="11"/>
      <c r="L15" s="4"/>
      <c r="M15" s="22"/>
    </row>
    <row r="16" spans="2:13" s="19" customFormat="1" ht="16.5" thickBot="1" x14ac:dyDescent="0.3">
      <c r="D16" s="11"/>
      <c r="E16" s="11"/>
      <c r="F16" s="131"/>
      <c r="G16" s="11"/>
      <c r="H16" s="5"/>
      <c r="J16" s="130"/>
      <c r="K16" s="11"/>
      <c r="L16" s="4"/>
      <c r="M16" s="22"/>
    </row>
    <row r="17" spans="2:13" s="19" customFormat="1" ht="27" customHeight="1" thickBot="1" x14ac:dyDescent="0.25">
      <c r="D17" s="375" t="s">
        <v>189</v>
      </c>
      <c r="E17" s="22"/>
      <c r="F17" s="168"/>
      <c r="G17" s="611" t="s">
        <v>176</v>
      </c>
      <c r="H17" s="612"/>
      <c r="I17" s="611" t="s">
        <v>188</v>
      </c>
      <c r="J17" s="612"/>
      <c r="K17" s="623" t="s">
        <v>120</v>
      </c>
      <c r="L17" s="22"/>
      <c r="M17" s="22"/>
    </row>
    <row r="18" spans="2:13" s="19" customFormat="1" ht="27" customHeight="1" thickBot="1" x14ac:dyDescent="0.25">
      <c r="B18" s="20"/>
      <c r="D18" s="182" t="s">
        <v>116</v>
      </c>
      <c r="E18" s="613" t="s">
        <v>115</v>
      </c>
      <c r="F18" s="614"/>
      <c r="G18" s="177" t="s">
        <v>92</v>
      </c>
      <c r="H18" s="178" t="s">
        <v>86</v>
      </c>
      <c r="I18" s="177" t="s">
        <v>92</v>
      </c>
      <c r="J18" s="178" t="s">
        <v>86</v>
      </c>
      <c r="K18" s="624"/>
      <c r="L18" s="22"/>
      <c r="M18" s="22"/>
    </row>
    <row r="19" spans="2:13" s="19" customFormat="1" ht="15.75" customHeight="1" x14ac:dyDescent="0.25">
      <c r="B19" s="20"/>
      <c r="C19" s="128" t="s">
        <v>166</v>
      </c>
      <c r="D19" s="183" t="s">
        <v>147</v>
      </c>
      <c r="E19" s="179" t="s">
        <v>92</v>
      </c>
      <c r="F19" s="174" t="s">
        <v>85</v>
      </c>
      <c r="G19" s="175">
        <v>1400</v>
      </c>
      <c r="H19" s="176">
        <v>1400</v>
      </c>
      <c r="I19" s="175">
        <v>2100</v>
      </c>
      <c r="J19" s="176">
        <v>2150</v>
      </c>
      <c r="K19" s="342">
        <v>0.85</v>
      </c>
      <c r="L19" s="22"/>
      <c r="M19" s="22"/>
    </row>
    <row r="20" spans="2:13" s="19" customFormat="1" ht="15.75" customHeight="1" x14ac:dyDescent="0.25">
      <c r="B20" s="20"/>
      <c r="C20" s="128" t="s">
        <v>167</v>
      </c>
      <c r="D20" s="184" t="s">
        <v>117</v>
      </c>
      <c r="E20" s="180" t="s">
        <v>86</v>
      </c>
      <c r="F20" s="170" t="s">
        <v>88</v>
      </c>
      <c r="G20" s="172">
        <v>1400</v>
      </c>
      <c r="H20" s="166">
        <v>1400</v>
      </c>
      <c r="I20" s="172">
        <v>2050</v>
      </c>
      <c r="J20" s="166">
        <v>2100</v>
      </c>
      <c r="K20" s="343">
        <v>0.9</v>
      </c>
      <c r="L20" s="22"/>
      <c r="M20" s="22"/>
    </row>
    <row r="21" spans="2:13" s="19" customFormat="1" ht="15.75" customHeight="1" thickBot="1" x14ac:dyDescent="0.3">
      <c r="B21" s="20"/>
      <c r="C21" s="128" t="s">
        <v>166</v>
      </c>
      <c r="D21" s="185" t="s">
        <v>148</v>
      </c>
      <c r="E21" s="181" t="s">
        <v>92</v>
      </c>
      <c r="F21" s="171" t="s">
        <v>85</v>
      </c>
      <c r="G21" s="173">
        <f>+G19</f>
        <v>1400</v>
      </c>
      <c r="H21" s="167">
        <f>+H19</f>
        <v>1400</v>
      </c>
      <c r="I21" s="173">
        <f>+I19</f>
        <v>2100</v>
      </c>
      <c r="J21" s="167">
        <f>+J19</f>
        <v>2150</v>
      </c>
      <c r="K21" s="344">
        <v>0.85</v>
      </c>
      <c r="M21" s="126"/>
    </row>
    <row r="22" spans="2:13" x14ac:dyDescent="0.2">
      <c r="J22" s="19"/>
      <c r="K22" s="19"/>
    </row>
    <row r="23" spans="2:13" ht="13.5" thickBot="1" x14ac:dyDescent="0.25">
      <c r="J23" s="19"/>
    </row>
    <row r="24" spans="2:13" ht="15.75" thickBot="1" x14ac:dyDescent="0.25">
      <c r="D24" s="191" t="s">
        <v>175</v>
      </c>
    </row>
    <row r="25" spans="2:13" s="19" customFormat="1" ht="15.75" customHeight="1" x14ac:dyDescent="0.25">
      <c r="B25" s="20"/>
      <c r="C25" s="12" t="s">
        <v>92</v>
      </c>
      <c r="D25" s="83">
        <v>8</v>
      </c>
      <c r="G25" s="9"/>
      <c r="H25" s="4"/>
      <c r="I25" s="77"/>
    </row>
    <row r="26" spans="2:13" s="19" customFormat="1" ht="15.75" customHeight="1" thickBot="1" x14ac:dyDescent="0.3">
      <c r="B26" s="20"/>
      <c r="C26" s="233" t="s">
        <v>86</v>
      </c>
      <c r="D26" s="84">
        <v>12</v>
      </c>
      <c r="I26" s="77"/>
      <c r="J26" s="127"/>
    </row>
    <row r="27" spans="2:13" s="19" customFormat="1" ht="15.75" customHeight="1" thickBot="1" x14ac:dyDescent="0.3">
      <c r="B27" s="20"/>
      <c r="I27" s="77"/>
      <c r="J27" s="127"/>
    </row>
    <row r="28" spans="2:13" s="19" customFormat="1" ht="15.75" customHeight="1" thickBot="1" x14ac:dyDescent="0.3">
      <c r="B28" s="20"/>
      <c r="C28" s="615" t="s">
        <v>168</v>
      </c>
      <c r="D28" s="616"/>
      <c r="E28" s="127"/>
      <c r="H28" s="4"/>
      <c r="I28" s="77"/>
      <c r="J28" s="127"/>
    </row>
    <row r="29" spans="2:13" s="19" customFormat="1" ht="15.75" customHeight="1" x14ac:dyDescent="0.25">
      <c r="B29" s="20"/>
      <c r="C29" s="12" t="s">
        <v>92</v>
      </c>
      <c r="D29" s="385" t="s">
        <v>154</v>
      </c>
      <c r="G29" s="9"/>
      <c r="H29" s="4"/>
      <c r="I29" s="77"/>
      <c r="J29" s="127"/>
    </row>
    <row r="30" spans="2:13" s="19" customFormat="1" ht="15.75" customHeight="1" thickBot="1" x14ac:dyDescent="0.3">
      <c r="B30" s="20"/>
      <c r="C30" s="233" t="s">
        <v>86</v>
      </c>
      <c r="D30" s="386" t="s">
        <v>154</v>
      </c>
      <c r="G30" s="9"/>
      <c r="H30" s="4"/>
      <c r="I30" s="77"/>
      <c r="J30" s="127"/>
    </row>
    <row r="31" spans="2:13" s="19" customFormat="1" ht="15.75" customHeight="1" thickBot="1" x14ac:dyDescent="0.3">
      <c r="B31" s="20"/>
      <c r="C31" s="4"/>
      <c r="D31" s="133"/>
      <c r="G31" s="9"/>
      <c r="H31" s="4"/>
      <c r="I31" s="77"/>
      <c r="J31" s="127"/>
    </row>
    <row r="32" spans="2:13" s="19" customFormat="1" ht="15.75" customHeight="1" thickBot="1" x14ac:dyDescent="0.3">
      <c r="B32" s="20"/>
      <c r="E32" s="187" t="s">
        <v>190</v>
      </c>
      <c r="F32" s="188"/>
      <c r="H32" s="4"/>
      <c r="I32" s="77"/>
      <c r="J32" s="127"/>
    </row>
    <row r="33" spans="1:24" s="19" customFormat="1" ht="15.75" customHeight="1" x14ac:dyDescent="0.25">
      <c r="B33" s="20"/>
      <c r="C33" s="12" t="str">
        <f>+$E$19</f>
        <v>Base</v>
      </c>
      <c r="D33" s="13" t="str">
        <f>+$F$19</f>
        <v>Gas</v>
      </c>
      <c r="E33" s="319" t="s">
        <v>0</v>
      </c>
      <c r="F33" s="460">
        <f>+IF($E33="ID",+VLOOKUP($E$14,'PDI Aux'!$B$5:$W$117,15,FALSE),IF($E33="IT",+VLOOKUP($E$14,'PDI Aux'!$B$5:$W$117,16,FALSE),IF($E33="Terrestre GO",+VLOOKUP($E$14,'PDI Aux'!$B$5:$W$117,17,FALSE),IF($E33="Fluvial GO",+VLOOKUP($E$14,'PDI Aux'!$B$5:$W$117,18,FALSE),IF($E33="Terrestre FO",+VLOOKUP($E$14,'PDI Aux'!$B$5:$W$117,19,FALSE),IF($E33="Fluvial FO",+VLOOKUP($E$14,'PDI Aux'!$B$5:$W$117,20,FALSE),IF($E33="Combustible Propio",+VLOOKUP($E$14,'PDI Aux'!$B$5:$W$117,19,FALSE),"ERROR")))))))</f>
        <v>0.379</v>
      </c>
      <c r="G33" s="186" t="str">
        <f>+VLOOKUP($D33,'Precios Ref Mercado'!$C$7:$G$9,3,FALSE)</f>
        <v>U$S/Mbtu</v>
      </c>
      <c r="H33" s="4"/>
      <c r="I33" s="77"/>
      <c r="J33" s="127"/>
    </row>
    <row r="34" spans="1:24" s="19" customFormat="1" ht="15.75" customHeight="1" thickBot="1" x14ac:dyDescent="0.3">
      <c r="B34" s="20"/>
      <c r="C34" s="233" t="str">
        <f>+$E$20</f>
        <v>Alternativo</v>
      </c>
      <c r="D34" s="15" t="str">
        <f>+$F$20</f>
        <v>Gas Oil</v>
      </c>
      <c r="E34" s="320" t="s">
        <v>126</v>
      </c>
      <c r="F34" s="15">
        <f>+IF($E34="ID",+VLOOKUP($E$14,'PDI Aux'!$B$5:$W$117,15,FALSE),IF($E34="IT",+VLOOKUP($E$14,'PDI Aux'!$B$5:$W$117,16,FALSE),IF($E34="Terrestre GO",+VLOOKUP($E$14,'PDI Aux'!$B$5:$W$117,17,FALSE),IF($E34="Fluvial GO",+VLOOKUP($E$14,'PDI Aux'!$B$5:$W$117,18,FALSE),IF($E34="Terrestre FO",+VLOOKUP($E$14,'PDI Aux'!$B$5:$W$117,19,FALSE),IF($E34="Fluvial FO",+VLOOKUP($E$14,'PDI Aux'!$B$5:$W$117,20,FALSE),IF($E34="Combustible Propio",+VLOOKUP($E$14,'PDI Aux'!$B$5:$W$117,19,FALSE),"ERROR")))))))</f>
        <v>0</v>
      </c>
      <c r="G34" s="318" t="str">
        <f>+VLOOKUP($D34,'Precios Ref Mercado'!$C$7:$G$9,3,FALSE)</f>
        <v>U$S/m3</v>
      </c>
      <c r="H34" s="4"/>
      <c r="I34" s="77"/>
      <c r="J34" s="127"/>
    </row>
    <row r="35" spans="1:24" s="19" customFormat="1" ht="15.75" customHeight="1" thickBot="1" x14ac:dyDescent="0.3">
      <c r="B35" s="20"/>
      <c r="G35" s="9"/>
      <c r="H35" s="4"/>
      <c r="I35" s="77"/>
      <c r="J35" s="127"/>
    </row>
    <row r="36" spans="1:24" s="19" customFormat="1" ht="46.5" customHeight="1" thickBot="1" x14ac:dyDescent="0.3">
      <c r="B36" s="20"/>
      <c r="E36" s="374" t="s">
        <v>174</v>
      </c>
      <c r="F36" s="187" t="s">
        <v>165</v>
      </c>
      <c r="G36" s="188"/>
      <c r="H36" s="4"/>
      <c r="I36" s="77"/>
      <c r="J36" s="127"/>
    </row>
    <row r="37" spans="1:24" s="19" customFormat="1" ht="15.75" customHeight="1" x14ac:dyDescent="0.25">
      <c r="B37" s="20"/>
      <c r="C37" s="12" t="str">
        <f>+$E$19</f>
        <v>Base</v>
      </c>
      <c r="D37" s="13" t="str">
        <f>+$F$19</f>
        <v>Gas</v>
      </c>
      <c r="E37" s="13">
        <f>+VLOOKUP($D33,'Precios Ref Mercado'!$C$7:$G$9,2,FALSE)</f>
        <v>5.2</v>
      </c>
      <c r="F37" s="466">
        <f>+F33+E37</f>
        <v>5.5790000000000006</v>
      </c>
      <c r="G37" s="186" t="str">
        <f>+VLOOKUP($D33,'Precios Ref Mercado'!$C$7:$G$9,3,FALSE)</f>
        <v>U$S/Mbtu</v>
      </c>
      <c r="H37" s="4"/>
      <c r="I37" s="77"/>
      <c r="J37" s="127"/>
    </row>
    <row r="38" spans="1:24" s="19" customFormat="1" ht="15.75" customHeight="1" thickBot="1" x14ac:dyDescent="0.3">
      <c r="B38" s="20"/>
      <c r="C38" s="233" t="str">
        <f>+$E$20</f>
        <v>Alternativo</v>
      </c>
      <c r="D38" s="15" t="str">
        <f>+$F$20</f>
        <v>Gas Oil</v>
      </c>
      <c r="E38" s="15">
        <f>+VLOOKUP($D34,'Precios Ref Mercado'!$C$7:$G$9,2,FALSE)</f>
        <v>400</v>
      </c>
      <c r="F38" s="462">
        <f>+E38+F34</f>
        <v>400</v>
      </c>
      <c r="G38" s="318" t="str">
        <f>+VLOOKUP($D34,'Precios Ref Mercado'!$C$7:$G$9,3,FALSE)</f>
        <v>U$S/m3</v>
      </c>
      <c r="H38" s="4"/>
      <c r="I38" s="77"/>
      <c r="J38" s="127"/>
    </row>
    <row r="39" spans="1:24" s="19" customFormat="1" ht="14.25" customHeight="1" thickBot="1" x14ac:dyDescent="0.3">
      <c r="B39" s="20"/>
      <c r="D39" s="21"/>
      <c r="F39" s="20"/>
      <c r="G39" s="22"/>
      <c r="H39" s="22"/>
      <c r="I39" s="22"/>
    </row>
    <row r="40" spans="1:24" s="7" customFormat="1" ht="29.25" customHeight="1" thickBot="1" x14ac:dyDescent="0.3">
      <c r="E40" s="374" t="s">
        <v>87</v>
      </c>
      <c r="F40" s="187" t="s">
        <v>159</v>
      </c>
      <c r="G40" s="188"/>
      <c r="H40" s="621" t="s">
        <v>198</v>
      </c>
      <c r="I40" s="622"/>
    </row>
    <row r="41" spans="1:24" ht="16.5" thickBot="1" x14ac:dyDescent="0.3">
      <c r="C41" s="12" t="str">
        <f>+$E$19</f>
        <v>Base</v>
      </c>
      <c r="D41" s="13" t="str">
        <f>+$F$19</f>
        <v>Gas</v>
      </c>
      <c r="E41" s="81">
        <v>0.98</v>
      </c>
      <c r="F41" s="465">
        <f>IF(VLOOKUP(C41,$C$29:$D$30,2,FALSE)="NO",IF(D41="Gas",F37,F37*1.05),IF(D37="Gas",E37*E41+F33,E41*E37))</f>
        <v>5.4749999999999996</v>
      </c>
      <c r="G41" s="14" t="str">
        <f>+G37</f>
        <v>U$S/Mbtu</v>
      </c>
      <c r="H41" s="316">
        <f>+VLOOKUP($D33,'Precios Ref Mercado'!$C$7:$G$9,4,FALSE)</f>
        <v>227.55594083545537</v>
      </c>
      <c r="I41" s="376" t="str">
        <f>+VLOOKUP(D41,Aux!$B$13:$C$15,2,FALSE)</f>
        <v>kcal/MBTU</v>
      </c>
    </row>
    <row r="42" spans="1:24" ht="16.5" thickBot="1" x14ac:dyDescent="0.3">
      <c r="C42" s="233" t="str">
        <f>+$E$20</f>
        <v>Alternativo</v>
      </c>
      <c r="D42" s="15" t="str">
        <f>+$F$20</f>
        <v>Gas Oil</v>
      </c>
      <c r="E42" s="82">
        <v>0.98</v>
      </c>
      <c r="F42" s="465">
        <f>IF(VLOOKUP(C42,$C$29:$D$30,2,FALSE)="NO",IF(D42="Gas",F38,F38*1.05),IF(D38="Gas",E38*E42+F34,E42*E38))</f>
        <v>392</v>
      </c>
      <c r="G42" s="16" t="str">
        <f>+G38</f>
        <v>U$S/m3</v>
      </c>
      <c r="H42" s="317">
        <f>+VLOOKUP($D34,'Precios Ref Mercado'!$C$7:$G$9,4,FALSE)</f>
        <v>8580</v>
      </c>
      <c r="I42" s="376" t="str">
        <f>+VLOOKUP(D42,Aux!$B$13:$C$15,2,FALSE)</f>
        <v>Kcal/m3</v>
      </c>
    </row>
    <row r="43" spans="1:24" ht="15" x14ac:dyDescent="0.2">
      <c r="F43" s="79"/>
      <c r="P43" s="19"/>
      <c r="Q43" s="19"/>
      <c r="R43" s="19"/>
      <c r="S43" s="19"/>
      <c r="T43" s="19"/>
      <c r="U43" s="19"/>
      <c r="V43" s="19"/>
      <c r="W43" s="19"/>
      <c r="X43" s="19"/>
    </row>
    <row r="44" spans="1:24" s="294" customFormat="1" ht="20.25" x14ac:dyDescent="0.3">
      <c r="B44" s="292" t="s">
        <v>160</v>
      </c>
      <c r="P44" s="295"/>
      <c r="Q44" s="295"/>
      <c r="R44" s="295"/>
      <c r="S44" s="295"/>
      <c r="T44" s="295"/>
      <c r="U44" s="295"/>
      <c r="V44" s="295"/>
    </row>
    <row r="45" spans="1:24" ht="13.5" thickBot="1" x14ac:dyDescent="0.25">
      <c r="G45" s="4"/>
      <c r="H45" s="4"/>
      <c r="I45" s="4"/>
      <c r="V45" s="19"/>
    </row>
    <row r="46" spans="1:24" s="6" customFormat="1" ht="36.75" thickBot="1" x14ac:dyDescent="0.25">
      <c r="A46" s="98"/>
      <c r="B46" s="345" t="s">
        <v>172</v>
      </c>
      <c r="C46" s="88" t="s">
        <v>178</v>
      </c>
      <c r="D46" s="88" t="s">
        <v>179</v>
      </c>
      <c r="E46" s="88" t="s">
        <v>180</v>
      </c>
      <c r="F46" s="88" t="s">
        <v>181</v>
      </c>
      <c r="G46" s="88" t="s">
        <v>175</v>
      </c>
      <c r="H46" s="88" t="s">
        <v>182</v>
      </c>
      <c r="I46" s="315" t="s">
        <v>183</v>
      </c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99"/>
      <c r="W46" s="89"/>
    </row>
    <row r="47" spans="1:24" ht="13.5" thickBot="1" x14ac:dyDescent="0.25">
      <c r="A47" s="248" t="s">
        <v>94</v>
      </c>
      <c r="B47" s="300" t="str">
        <f>+$E$19</f>
        <v>Base</v>
      </c>
      <c r="C47" s="100">
        <f>+HLOOKUP($B47,$G$18:$H$20,2,FALSE)</f>
        <v>1400</v>
      </c>
      <c r="D47" s="134">
        <f>+VLOOKUP($B47,$C$41:$H$42,4,FALSE)</f>
        <v>5.4749999999999996</v>
      </c>
      <c r="E47" s="135">
        <f>+VLOOKUP($B47,$C$41:$H$42,6,FALSE)</f>
        <v>227.55594083545537</v>
      </c>
      <c r="F47" s="102">
        <f t="shared" ref="F47:F58" si="0">+D47*C47/E47</f>
        <v>33.684024999999998</v>
      </c>
      <c r="G47" s="100">
        <f>+VLOOKUP(B47,$C$25:$D$26,2,FALSE)</f>
        <v>8</v>
      </c>
      <c r="H47" s="102">
        <f t="shared" ref="H47:H58" si="1">+F47+G47</f>
        <v>41.684024999999998</v>
      </c>
      <c r="I47" s="313">
        <f t="shared" ref="I47:I58" si="2">ROUND(+H47*$E$15,2)</f>
        <v>43.23</v>
      </c>
    </row>
    <row r="48" spans="1:24" ht="13.5" thickBot="1" x14ac:dyDescent="0.25">
      <c r="A48" s="250" t="s">
        <v>95</v>
      </c>
      <c r="B48" s="301" t="str">
        <f>+B47</f>
        <v>Base</v>
      </c>
      <c r="C48" s="100">
        <f t="shared" ref="C48:C50" si="3">+HLOOKUP($B48,$G$18:$H$20,2,FALSE)</f>
        <v>1400</v>
      </c>
      <c r="D48" s="134">
        <f t="shared" ref="D48:D60" si="4">+VLOOKUP($B48,$C$41:$H$42,4,FALSE)</f>
        <v>5.4749999999999996</v>
      </c>
      <c r="E48" s="135">
        <f t="shared" ref="E48:E60" si="5">+VLOOKUP($B48,$C$41:$H$42,6,FALSE)</f>
        <v>227.55594083545537</v>
      </c>
      <c r="F48" s="102">
        <f t="shared" si="0"/>
        <v>33.684024999999998</v>
      </c>
      <c r="G48" s="100">
        <f t="shared" ref="G48:G58" si="6">+VLOOKUP(B48,$C$25:$D$26,2,FALSE)</f>
        <v>8</v>
      </c>
      <c r="H48" s="102">
        <f t="shared" si="1"/>
        <v>41.684024999999998</v>
      </c>
      <c r="I48" s="308">
        <f t="shared" si="2"/>
        <v>43.23</v>
      </c>
    </row>
    <row r="49" spans="1:23" ht="13.5" thickBot="1" x14ac:dyDescent="0.25">
      <c r="A49" s="250" t="s">
        <v>96</v>
      </c>
      <c r="B49" s="301" t="str">
        <f t="shared" ref="B49:B50" si="7">+B48</f>
        <v>Base</v>
      </c>
      <c r="C49" s="100">
        <f t="shared" si="3"/>
        <v>1400</v>
      </c>
      <c r="D49" s="134">
        <f t="shared" si="4"/>
        <v>5.4749999999999996</v>
      </c>
      <c r="E49" s="135">
        <f t="shared" si="5"/>
        <v>227.55594083545537</v>
      </c>
      <c r="F49" s="102">
        <f t="shared" si="0"/>
        <v>33.684024999999998</v>
      </c>
      <c r="G49" s="100">
        <f t="shared" si="6"/>
        <v>8</v>
      </c>
      <c r="H49" s="102">
        <f t="shared" si="1"/>
        <v>41.684024999999998</v>
      </c>
      <c r="I49" s="308">
        <f t="shared" si="2"/>
        <v>43.23</v>
      </c>
      <c r="J49" s="26"/>
      <c r="K49" s="26"/>
      <c r="L49" s="26"/>
      <c r="M49" s="26"/>
      <c r="N49" s="25"/>
      <c r="O49" s="25"/>
      <c r="P49" s="25"/>
      <c r="Q49" s="25"/>
      <c r="R49" s="26"/>
      <c r="S49" s="25"/>
      <c r="T49" s="25"/>
    </row>
    <row r="50" spans="1:23" ht="13.5" thickBot="1" x14ac:dyDescent="0.25">
      <c r="A50" s="258" t="s">
        <v>97</v>
      </c>
      <c r="B50" s="302" t="str">
        <f t="shared" si="7"/>
        <v>Base</v>
      </c>
      <c r="C50" s="100">
        <f t="shared" si="3"/>
        <v>1400</v>
      </c>
      <c r="D50" s="260">
        <f t="shared" si="4"/>
        <v>5.4749999999999996</v>
      </c>
      <c r="E50" s="261">
        <f t="shared" si="5"/>
        <v>227.55594083545537</v>
      </c>
      <c r="F50" s="262">
        <f t="shared" si="0"/>
        <v>33.684024999999998</v>
      </c>
      <c r="G50" s="263">
        <f t="shared" si="6"/>
        <v>8</v>
      </c>
      <c r="H50" s="262">
        <f t="shared" si="1"/>
        <v>41.684024999999998</v>
      </c>
      <c r="I50" s="309">
        <f t="shared" si="2"/>
        <v>43.23</v>
      </c>
      <c r="J50" s="26"/>
      <c r="K50" s="26"/>
      <c r="L50" s="26"/>
      <c r="M50" s="26"/>
      <c r="N50" s="25"/>
      <c r="O50" s="25"/>
      <c r="P50" s="25"/>
      <c r="Q50" s="25"/>
      <c r="R50" s="26"/>
      <c r="S50" s="25"/>
      <c r="T50" s="25"/>
    </row>
    <row r="51" spans="1:23" ht="13.5" thickBot="1" x14ac:dyDescent="0.25">
      <c r="A51" s="266" t="s">
        <v>98</v>
      </c>
      <c r="B51" s="303" t="str">
        <f>IF($K$4="Si","Base",+$E$20)</f>
        <v>Alternativo</v>
      </c>
      <c r="C51" s="271">
        <f>+HLOOKUP($B51,$G$18:$H$20,3,FALSE)</f>
        <v>1400</v>
      </c>
      <c r="D51" s="268">
        <f t="shared" si="4"/>
        <v>392</v>
      </c>
      <c r="E51" s="269">
        <f t="shared" si="5"/>
        <v>8580</v>
      </c>
      <c r="F51" s="270">
        <f t="shared" si="0"/>
        <v>63.962703962703962</v>
      </c>
      <c r="G51" s="271">
        <f t="shared" si="6"/>
        <v>12</v>
      </c>
      <c r="H51" s="270">
        <f t="shared" si="1"/>
        <v>75.962703962703955</v>
      </c>
      <c r="I51" s="310">
        <f t="shared" si="2"/>
        <v>78.77</v>
      </c>
      <c r="J51" s="26"/>
      <c r="K51" s="26"/>
      <c r="L51" s="26"/>
      <c r="M51" s="26"/>
      <c r="N51" s="25"/>
      <c r="O51" s="25"/>
      <c r="P51" s="25"/>
      <c r="Q51" s="25"/>
      <c r="R51" s="26"/>
      <c r="S51" s="25"/>
      <c r="T51" s="25"/>
    </row>
    <row r="52" spans="1:23" ht="13.5" thickBot="1" x14ac:dyDescent="0.25">
      <c r="A52" s="254" t="s">
        <v>99</v>
      </c>
      <c r="B52" s="304" t="str">
        <f>+B51</f>
        <v>Alternativo</v>
      </c>
      <c r="C52" s="271">
        <f t="shared" ref="C52:C54" si="8">+HLOOKUP($B52,$G$18:$H$20,3,FALSE)</f>
        <v>1400</v>
      </c>
      <c r="D52" s="256">
        <f t="shared" si="4"/>
        <v>392</v>
      </c>
      <c r="E52" s="257">
        <f t="shared" si="5"/>
        <v>8580</v>
      </c>
      <c r="F52" s="107">
        <f t="shared" si="0"/>
        <v>63.962703962703962</v>
      </c>
      <c r="G52" s="106">
        <f t="shared" si="6"/>
        <v>12</v>
      </c>
      <c r="H52" s="107">
        <f t="shared" si="1"/>
        <v>75.962703962703955</v>
      </c>
      <c r="I52" s="311">
        <f t="shared" si="2"/>
        <v>78.77</v>
      </c>
      <c r="J52" s="26"/>
      <c r="K52" s="26"/>
      <c r="L52" s="26"/>
      <c r="M52" s="26"/>
      <c r="N52" s="25"/>
      <c r="O52" s="25"/>
      <c r="P52" s="25"/>
      <c r="Q52" s="25"/>
      <c r="R52" s="26"/>
      <c r="S52" s="25"/>
      <c r="T52" s="25"/>
    </row>
    <row r="53" spans="1:23" ht="13.5" thickBot="1" x14ac:dyDescent="0.25">
      <c r="A53" s="254" t="s">
        <v>100</v>
      </c>
      <c r="B53" s="304" t="str">
        <f t="shared" ref="B53:B54" si="9">+B52</f>
        <v>Alternativo</v>
      </c>
      <c r="C53" s="271">
        <f t="shared" si="8"/>
        <v>1400</v>
      </c>
      <c r="D53" s="256">
        <f t="shared" si="4"/>
        <v>392</v>
      </c>
      <c r="E53" s="257">
        <f t="shared" si="5"/>
        <v>8580</v>
      </c>
      <c r="F53" s="107">
        <f t="shared" si="0"/>
        <v>63.962703962703962</v>
      </c>
      <c r="G53" s="106">
        <f t="shared" si="6"/>
        <v>12</v>
      </c>
      <c r="H53" s="107">
        <f t="shared" si="1"/>
        <v>75.962703962703955</v>
      </c>
      <c r="I53" s="311">
        <f t="shared" si="2"/>
        <v>78.77</v>
      </c>
      <c r="J53" s="26"/>
      <c r="K53" s="26"/>
      <c r="L53" s="26"/>
      <c r="M53" s="26"/>
      <c r="N53" s="25"/>
      <c r="O53" s="25"/>
      <c r="P53" s="25"/>
      <c r="Q53" s="25"/>
      <c r="R53" s="26"/>
      <c r="S53" s="25"/>
      <c r="T53" s="25"/>
    </row>
    <row r="54" spans="1:23" ht="13.5" thickBot="1" x14ac:dyDescent="0.25">
      <c r="A54" s="272" t="s">
        <v>101</v>
      </c>
      <c r="B54" s="305" t="str">
        <f t="shared" si="9"/>
        <v>Alternativo</v>
      </c>
      <c r="C54" s="271">
        <f t="shared" si="8"/>
        <v>1400</v>
      </c>
      <c r="D54" s="256">
        <f t="shared" si="4"/>
        <v>392</v>
      </c>
      <c r="E54" s="257">
        <f t="shared" si="5"/>
        <v>8580</v>
      </c>
      <c r="F54" s="107">
        <f t="shared" si="0"/>
        <v>63.962703962703962</v>
      </c>
      <c r="G54" s="106">
        <f t="shared" si="6"/>
        <v>12</v>
      </c>
      <c r="H54" s="107">
        <f t="shared" si="1"/>
        <v>75.962703962703955</v>
      </c>
      <c r="I54" s="312">
        <f t="shared" si="2"/>
        <v>78.77</v>
      </c>
      <c r="J54" s="26"/>
      <c r="K54" s="26"/>
      <c r="L54" s="26"/>
      <c r="M54" s="26"/>
      <c r="N54" s="25"/>
      <c r="O54" s="25"/>
      <c r="P54" s="25"/>
      <c r="Q54" s="25"/>
      <c r="R54" s="26"/>
      <c r="S54" s="25"/>
      <c r="T54" s="25"/>
    </row>
    <row r="55" spans="1:23" ht="13.5" thickBot="1" x14ac:dyDescent="0.25">
      <c r="A55" s="264" t="s">
        <v>102</v>
      </c>
      <c r="B55" s="306" t="str">
        <f>+B50</f>
        <v>Base</v>
      </c>
      <c r="C55" s="100">
        <f>+HLOOKUP($B55,$G$18:$H$20,2,FALSE)</f>
        <v>1400</v>
      </c>
      <c r="D55" s="134">
        <f t="shared" si="4"/>
        <v>5.4749999999999996</v>
      </c>
      <c r="E55" s="135">
        <f t="shared" si="5"/>
        <v>227.55594083545537</v>
      </c>
      <c r="F55" s="102">
        <f t="shared" si="0"/>
        <v>33.684024999999998</v>
      </c>
      <c r="G55" s="100">
        <f t="shared" si="6"/>
        <v>8</v>
      </c>
      <c r="H55" s="102">
        <f t="shared" si="1"/>
        <v>41.684024999999998</v>
      </c>
      <c r="I55" s="313">
        <f t="shared" si="2"/>
        <v>43.23</v>
      </c>
      <c r="J55" s="26"/>
      <c r="K55" s="26"/>
      <c r="L55" s="26"/>
      <c r="M55" s="26"/>
      <c r="N55" s="25"/>
      <c r="O55" s="25"/>
      <c r="P55" s="25"/>
      <c r="Q55" s="25"/>
      <c r="R55" s="26"/>
      <c r="S55" s="25"/>
      <c r="T55" s="25"/>
    </row>
    <row r="56" spans="1:23" ht="13.5" thickBot="1" x14ac:dyDescent="0.25">
      <c r="A56" s="250" t="s">
        <v>103</v>
      </c>
      <c r="B56" s="301" t="str">
        <f>+B55</f>
        <v>Base</v>
      </c>
      <c r="C56" s="100">
        <f t="shared" ref="C56:C58" si="10">+HLOOKUP($B56,$G$18:$H$20,2,FALSE)</f>
        <v>1400</v>
      </c>
      <c r="D56" s="134">
        <f t="shared" si="4"/>
        <v>5.4749999999999996</v>
      </c>
      <c r="E56" s="135">
        <f t="shared" si="5"/>
        <v>227.55594083545537</v>
      </c>
      <c r="F56" s="102">
        <f t="shared" si="0"/>
        <v>33.684024999999998</v>
      </c>
      <c r="G56" s="100">
        <f t="shared" si="6"/>
        <v>8</v>
      </c>
      <c r="H56" s="102">
        <f t="shared" si="1"/>
        <v>41.684024999999998</v>
      </c>
      <c r="I56" s="308">
        <f t="shared" si="2"/>
        <v>43.23</v>
      </c>
      <c r="J56" s="26"/>
      <c r="K56" s="26"/>
      <c r="L56" s="26"/>
      <c r="M56" s="26"/>
      <c r="N56" s="25"/>
      <c r="O56" s="25"/>
      <c r="P56" s="25"/>
      <c r="Q56" s="25"/>
      <c r="R56" s="26"/>
      <c r="S56" s="25"/>
      <c r="T56" s="25"/>
    </row>
    <row r="57" spans="1:23" ht="13.5" thickBot="1" x14ac:dyDescent="0.25">
      <c r="A57" s="250" t="s">
        <v>104</v>
      </c>
      <c r="B57" s="301" t="str">
        <f t="shared" ref="B57:B58" si="11">+B56</f>
        <v>Base</v>
      </c>
      <c r="C57" s="100">
        <f t="shared" si="10"/>
        <v>1400</v>
      </c>
      <c r="D57" s="134">
        <f t="shared" si="4"/>
        <v>5.4749999999999996</v>
      </c>
      <c r="E57" s="135">
        <f t="shared" si="5"/>
        <v>227.55594083545537</v>
      </c>
      <c r="F57" s="102">
        <f t="shared" si="0"/>
        <v>33.684024999999998</v>
      </c>
      <c r="G57" s="100">
        <f t="shared" si="6"/>
        <v>8</v>
      </c>
      <c r="H57" s="102">
        <f t="shared" si="1"/>
        <v>41.684024999999998</v>
      </c>
      <c r="I57" s="308">
        <f t="shared" si="2"/>
        <v>43.23</v>
      </c>
      <c r="J57" s="26"/>
      <c r="K57" s="26"/>
      <c r="L57" s="26"/>
      <c r="M57" s="26"/>
      <c r="N57" s="25"/>
      <c r="O57" s="25"/>
      <c r="P57" s="25"/>
      <c r="Q57" s="25"/>
      <c r="R57" s="26"/>
      <c r="S57" s="25"/>
      <c r="T57" s="25"/>
    </row>
    <row r="58" spans="1:23" ht="13.5" thickBot="1" x14ac:dyDescent="0.25">
      <c r="A58" s="252" t="s">
        <v>105</v>
      </c>
      <c r="B58" s="307" t="str">
        <f t="shared" si="11"/>
        <v>Base</v>
      </c>
      <c r="C58" s="100">
        <f t="shared" si="10"/>
        <v>1400</v>
      </c>
      <c r="D58" s="134">
        <f t="shared" si="4"/>
        <v>5.4749999999999996</v>
      </c>
      <c r="E58" s="135">
        <f t="shared" si="5"/>
        <v>227.55594083545537</v>
      </c>
      <c r="F58" s="102">
        <f t="shared" si="0"/>
        <v>33.684024999999998</v>
      </c>
      <c r="G58" s="100">
        <f t="shared" si="6"/>
        <v>8</v>
      </c>
      <c r="H58" s="102">
        <f t="shared" si="1"/>
        <v>41.684024999999998</v>
      </c>
      <c r="I58" s="314">
        <f t="shared" si="2"/>
        <v>43.23</v>
      </c>
      <c r="J58" s="26"/>
      <c r="K58" s="26"/>
      <c r="L58" s="26"/>
      <c r="M58" s="26"/>
      <c r="N58" s="25"/>
      <c r="O58" s="25"/>
      <c r="P58" s="25"/>
      <c r="Q58" s="25"/>
      <c r="R58" s="26"/>
      <c r="S58" s="25"/>
      <c r="T58" s="25"/>
    </row>
    <row r="59" spans="1:23" ht="13.5" thickBot="1" x14ac:dyDescent="0.25">
      <c r="A59" s="25"/>
      <c r="B59" s="481"/>
      <c r="C59" s="105"/>
      <c r="D59" s="482"/>
      <c r="E59" s="483"/>
      <c r="F59" s="484"/>
      <c r="G59" s="105"/>
      <c r="H59" s="484"/>
      <c r="I59" s="485"/>
      <c r="J59" s="26"/>
      <c r="K59" s="26"/>
      <c r="L59" s="26"/>
      <c r="M59" s="26"/>
      <c r="N59" s="25"/>
      <c r="O59" s="25"/>
      <c r="P59" s="25"/>
      <c r="Q59" s="25"/>
      <c r="R59" s="26"/>
      <c r="S59" s="25"/>
      <c r="T59" s="25"/>
    </row>
    <row r="60" spans="1:23" ht="13.5" thickBot="1" x14ac:dyDescent="0.25">
      <c r="A60" s="25"/>
      <c r="B60" s="304" t="s">
        <v>86</v>
      </c>
      <c r="C60" s="271">
        <f t="shared" ref="C60" si="12">+HLOOKUP($B60,$G$18:$H$20,3,FALSE)</f>
        <v>1400</v>
      </c>
      <c r="D60" s="256">
        <f t="shared" si="4"/>
        <v>392</v>
      </c>
      <c r="E60" s="257">
        <f t="shared" si="5"/>
        <v>8580</v>
      </c>
      <c r="F60" s="107">
        <f t="shared" ref="F60" si="13">+D60*C60/E60</f>
        <v>63.962703962703962</v>
      </c>
      <c r="G60" s="106">
        <f t="shared" ref="G60" si="14">+VLOOKUP(B60,$C$25:$D$26,2,FALSE)</f>
        <v>12</v>
      </c>
      <c r="H60" s="107">
        <f t="shared" ref="H60" si="15">+F60+G60</f>
        <v>75.962703962703955</v>
      </c>
      <c r="I60" s="311">
        <f t="shared" ref="I60" si="16">ROUND(+H60*$E$15,2)</f>
        <v>78.77</v>
      </c>
      <c r="J60" s="26"/>
      <c r="K60" s="26"/>
      <c r="L60" s="26"/>
      <c r="M60" s="26"/>
      <c r="N60" s="25"/>
      <c r="O60" s="25"/>
      <c r="P60" s="25"/>
      <c r="Q60" s="25"/>
      <c r="R60" s="26"/>
      <c r="S60" s="25"/>
      <c r="T60" s="25"/>
    </row>
    <row r="61" spans="1:23" ht="13.5" thickBot="1" x14ac:dyDescent="0.25">
      <c r="A61" s="25"/>
      <c r="B61" s="25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5"/>
      <c r="O61" s="25"/>
      <c r="P61" s="25"/>
      <c r="Q61" s="25"/>
      <c r="R61" s="26"/>
      <c r="S61" s="25"/>
      <c r="T61" s="25"/>
    </row>
    <row r="62" spans="1:23" s="6" customFormat="1" ht="36.75" thickBot="1" x14ac:dyDescent="0.25">
      <c r="A62" s="98"/>
      <c r="B62" s="345" t="s">
        <v>171</v>
      </c>
      <c r="C62" s="88" t="s">
        <v>191</v>
      </c>
      <c r="D62" s="88" t="s">
        <v>179</v>
      </c>
      <c r="E62" s="88" t="s">
        <v>180</v>
      </c>
      <c r="F62" s="88" t="s">
        <v>181</v>
      </c>
      <c r="G62" s="88" t="s">
        <v>175</v>
      </c>
      <c r="H62" s="88" t="s">
        <v>182</v>
      </c>
      <c r="I62" s="315" t="s">
        <v>183</v>
      </c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99"/>
      <c r="W62" s="89"/>
    </row>
    <row r="63" spans="1:23" ht="13.5" thickBot="1" x14ac:dyDescent="0.25">
      <c r="A63" s="248" t="s">
        <v>94</v>
      </c>
      <c r="B63" s="300" t="str">
        <f>+$E$19</f>
        <v>Base</v>
      </c>
      <c r="C63" s="100">
        <f>+HLOOKUP($B63,$I$18:$J$21,2,FALSE)</f>
        <v>2100</v>
      </c>
      <c r="D63" s="134">
        <f>+VLOOKUP($B63,$C$41:$H$42,4,FALSE)</f>
        <v>5.4749999999999996</v>
      </c>
      <c r="E63" s="135">
        <f>+VLOOKUP($B63,$C$41:$H$42,6,FALSE)</f>
        <v>227.55594083545537</v>
      </c>
      <c r="F63" s="102">
        <f t="shared" ref="F63:F74" si="17">+D63*C63/E63</f>
        <v>50.526037500000001</v>
      </c>
      <c r="G63" s="100">
        <f>+VLOOKUP(B63,$C$25:$D$26,2,FALSE)</f>
        <v>8</v>
      </c>
      <c r="H63" s="102">
        <f t="shared" ref="H63:H74" si="18">+F63+G63</f>
        <v>58.526037500000001</v>
      </c>
      <c r="I63" s="313">
        <f t="shared" ref="I63:I74" si="19">ROUND(+H63*$E$15,2)</f>
        <v>60.69</v>
      </c>
    </row>
    <row r="64" spans="1:23" ht="13.5" thickBot="1" x14ac:dyDescent="0.25">
      <c r="A64" s="250" t="s">
        <v>95</v>
      </c>
      <c r="B64" s="301" t="str">
        <f>+B63</f>
        <v>Base</v>
      </c>
      <c r="C64" s="100">
        <f t="shared" ref="C64:C72" si="20">+HLOOKUP($B64,$I$18:$J$21,2,FALSE)</f>
        <v>2100</v>
      </c>
      <c r="D64" s="134">
        <f t="shared" ref="D64:D76" si="21">+VLOOKUP($B64,$C$41:$H$42,4,FALSE)</f>
        <v>5.4749999999999996</v>
      </c>
      <c r="E64" s="135">
        <f t="shared" ref="E64:E76" si="22">+VLOOKUP($B64,$C$41:$H$42,6,FALSE)</f>
        <v>227.55594083545537</v>
      </c>
      <c r="F64" s="102">
        <f t="shared" si="17"/>
        <v>50.526037500000001</v>
      </c>
      <c r="G64" s="100">
        <f t="shared" ref="G64:G74" si="23">+VLOOKUP(B64,$C$25:$D$26,2,FALSE)</f>
        <v>8</v>
      </c>
      <c r="H64" s="102">
        <f t="shared" si="18"/>
        <v>58.526037500000001</v>
      </c>
      <c r="I64" s="308">
        <f t="shared" si="19"/>
        <v>60.69</v>
      </c>
    </row>
    <row r="65" spans="1:24" ht="13.5" thickBot="1" x14ac:dyDescent="0.25">
      <c r="A65" s="250" t="s">
        <v>96</v>
      </c>
      <c r="B65" s="301" t="str">
        <f t="shared" ref="B65:B66" si="24">+B64</f>
        <v>Base</v>
      </c>
      <c r="C65" s="100">
        <f t="shared" si="20"/>
        <v>2100</v>
      </c>
      <c r="D65" s="134">
        <f t="shared" si="21"/>
        <v>5.4749999999999996</v>
      </c>
      <c r="E65" s="135">
        <f t="shared" si="22"/>
        <v>227.55594083545537</v>
      </c>
      <c r="F65" s="102">
        <f t="shared" si="17"/>
        <v>50.526037500000001</v>
      </c>
      <c r="G65" s="100">
        <f t="shared" si="23"/>
        <v>8</v>
      </c>
      <c r="H65" s="102">
        <f t="shared" si="18"/>
        <v>58.526037500000001</v>
      </c>
      <c r="I65" s="308">
        <f t="shared" si="19"/>
        <v>60.69</v>
      </c>
      <c r="J65" s="26"/>
      <c r="K65" s="26"/>
      <c r="L65" s="26"/>
      <c r="M65" s="26"/>
      <c r="N65" s="25"/>
      <c r="O65" s="25"/>
      <c r="P65" s="25"/>
      <c r="Q65" s="25"/>
      <c r="R65" s="26"/>
      <c r="S65" s="25"/>
      <c r="T65" s="25"/>
    </row>
    <row r="66" spans="1:24" ht="13.5" thickBot="1" x14ac:dyDescent="0.25">
      <c r="A66" s="258" t="s">
        <v>97</v>
      </c>
      <c r="B66" s="302" t="str">
        <f t="shared" si="24"/>
        <v>Base</v>
      </c>
      <c r="C66" s="100">
        <f t="shared" si="20"/>
        <v>2100</v>
      </c>
      <c r="D66" s="260">
        <f t="shared" si="21"/>
        <v>5.4749999999999996</v>
      </c>
      <c r="E66" s="261">
        <f t="shared" si="22"/>
        <v>227.55594083545537</v>
      </c>
      <c r="F66" s="262">
        <f t="shared" si="17"/>
        <v>50.526037500000001</v>
      </c>
      <c r="G66" s="263">
        <f t="shared" si="23"/>
        <v>8</v>
      </c>
      <c r="H66" s="262">
        <f t="shared" si="18"/>
        <v>58.526037500000001</v>
      </c>
      <c r="I66" s="309">
        <f t="shared" si="19"/>
        <v>60.69</v>
      </c>
      <c r="J66" s="26"/>
      <c r="K66" s="26"/>
      <c r="L66" s="26"/>
      <c r="M66" s="26"/>
      <c r="N66" s="25"/>
      <c r="O66" s="25"/>
      <c r="P66" s="25"/>
      <c r="Q66" s="25"/>
      <c r="R66" s="26"/>
      <c r="S66" s="25"/>
      <c r="T66" s="25"/>
    </row>
    <row r="67" spans="1:24" ht="13.5" thickBot="1" x14ac:dyDescent="0.25">
      <c r="A67" s="266" t="s">
        <v>98</v>
      </c>
      <c r="B67" s="303" t="str">
        <f>IF($K$4="Si","Base",+$E$20)</f>
        <v>Alternativo</v>
      </c>
      <c r="C67" s="106">
        <f t="shared" si="20"/>
        <v>2150</v>
      </c>
      <c r="D67" s="268">
        <f t="shared" si="21"/>
        <v>392</v>
      </c>
      <c r="E67" s="269">
        <f t="shared" si="22"/>
        <v>8580</v>
      </c>
      <c r="F67" s="270">
        <f t="shared" si="17"/>
        <v>98.228438228438222</v>
      </c>
      <c r="G67" s="271">
        <f t="shared" si="23"/>
        <v>12</v>
      </c>
      <c r="H67" s="270">
        <f t="shared" si="18"/>
        <v>110.22843822843822</v>
      </c>
      <c r="I67" s="310">
        <f t="shared" si="19"/>
        <v>114.31</v>
      </c>
      <c r="J67" s="26"/>
      <c r="K67" s="26"/>
      <c r="L67" s="26"/>
      <c r="M67" s="26"/>
      <c r="N67" s="25"/>
      <c r="O67" s="25"/>
      <c r="P67" s="25"/>
      <c r="Q67" s="25"/>
      <c r="R67" s="26"/>
      <c r="S67" s="25"/>
      <c r="T67" s="25"/>
    </row>
    <row r="68" spans="1:24" ht="13.5" thickBot="1" x14ac:dyDescent="0.25">
      <c r="A68" s="254" t="s">
        <v>99</v>
      </c>
      <c r="B68" s="304" t="str">
        <f>+B67</f>
        <v>Alternativo</v>
      </c>
      <c r="C68" s="106">
        <f t="shared" si="20"/>
        <v>2150</v>
      </c>
      <c r="D68" s="256">
        <f t="shared" si="21"/>
        <v>392</v>
      </c>
      <c r="E68" s="257">
        <f t="shared" si="22"/>
        <v>8580</v>
      </c>
      <c r="F68" s="107">
        <f t="shared" si="17"/>
        <v>98.228438228438222</v>
      </c>
      <c r="G68" s="106">
        <f t="shared" si="23"/>
        <v>12</v>
      </c>
      <c r="H68" s="107">
        <f t="shared" si="18"/>
        <v>110.22843822843822</v>
      </c>
      <c r="I68" s="311">
        <f t="shared" si="19"/>
        <v>114.31</v>
      </c>
      <c r="J68" s="26"/>
      <c r="K68" s="26"/>
      <c r="L68" s="26"/>
      <c r="M68" s="26"/>
      <c r="N68" s="25"/>
      <c r="O68" s="25"/>
      <c r="P68" s="25"/>
      <c r="Q68" s="25"/>
      <c r="R68" s="26"/>
      <c r="S68" s="25"/>
      <c r="T68" s="25"/>
    </row>
    <row r="69" spans="1:24" ht="13.5" thickBot="1" x14ac:dyDescent="0.25">
      <c r="A69" s="254" t="s">
        <v>100</v>
      </c>
      <c r="B69" s="304" t="str">
        <f t="shared" ref="B69:B70" si="25">+B68</f>
        <v>Alternativo</v>
      </c>
      <c r="C69" s="106">
        <f t="shared" si="20"/>
        <v>2150</v>
      </c>
      <c r="D69" s="256">
        <f t="shared" si="21"/>
        <v>392</v>
      </c>
      <c r="E69" s="257">
        <f t="shared" si="22"/>
        <v>8580</v>
      </c>
      <c r="F69" s="107">
        <f t="shared" si="17"/>
        <v>98.228438228438222</v>
      </c>
      <c r="G69" s="106">
        <f t="shared" si="23"/>
        <v>12</v>
      </c>
      <c r="H69" s="107">
        <f t="shared" si="18"/>
        <v>110.22843822843822</v>
      </c>
      <c r="I69" s="311">
        <f t="shared" si="19"/>
        <v>114.31</v>
      </c>
      <c r="J69" s="26"/>
      <c r="K69" s="26"/>
      <c r="L69" s="26"/>
      <c r="M69" s="26"/>
      <c r="N69" s="25"/>
      <c r="O69" s="25"/>
      <c r="P69" s="25"/>
      <c r="Q69" s="25"/>
      <c r="R69" s="26"/>
      <c r="S69" s="25"/>
      <c r="T69" s="25"/>
    </row>
    <row r="70" spans="1:24" ht="13.5" thickBot="1" x14ac:dyDescent="0.25">
      <c r="A70" s="272" t="s">
        <v>101</v>
      </c>
      <c r="B70" s="305" t="str">
        <f t="shared" si="25"/>
        <v>Alternativo</v>
      </c>
      <c r="C70" s="106">
        <f t="shared" si="20"/>
        <v>2150</v>
      </c>
      <c r="D70" s="256">
        <f t="shared" si="21"/>
        <v>392</v>
      </c>
      <c r="E70" s="257">
        <f t="shared" si="22"/>
        <v>8580</v>
      </c>
      <c r="F70" s="107">
        <f t="shared" si="17"/>
        <v>98.228438228438222</v>
      </c>
      <c r="G70" s="106">
        <f t="shared" si="23"/>
        <v>12</v>
      </c>
      <c r="H70" s="107">
        <f t="shared" si="18"/>
        <v>110.22843822843822</v>
      </c>
      <c r="I70" s="312">
        <f t="shared" si="19"/>
        <v>114.31</v>
      </c>
      <c r="J70" s="26"/>
      <c r="K70" s="26"/>
      <c r="L70" s="26"/>
      <c r="M70" s="26"/>
      <c r="N70" s="25"/>
      <c r="O70" s="25"/>
      <c r="P70" s="25"/>
      <c r="Q70" s="25"/>
      <c r="R70" s="26"/>
      <c r="S70" s="25"/>
      <c r="T70" s="25"/>
    </row>
    <row r="71" spans="1:24" ht="13.5" thickBot="1" x14ac:dyDescent="0.25">
      <c r="A71" s="264" t="s">
        <v>102</v>
      </c>
      <c r="B71" s="306" t="str">
        <f>+B66</f>
        <v>Base</v>
      </c>
      <c r="C71" s="100">
        <f t="shared" si="20"/>
        <v>2100</v>
      </c>
      <c r="D71" s="134">
        <f t="shared" si="21"/>
        <v>5.4749999999999996</v>
      </c>
      <c r="E71" s="135">
        <f t="shared" si="22"/>
        <v>227.55594083545537</v>
      </c>
      <c r="F71" s="102">
        <f t="shared" si="17"/>
        <v>50.526037500000001</v>
      </c>
      <c r="G71" s="100">
        <f t="shared" si="23"/>
        <v>8</v>
      </c>
      <c r="H71" s="102">
        <f t="shared" si="18"/>
        <v>58.526037500000001</v>
      </c>
      <c r="I71" s="313">
        <f t="shared" si="19"/>
        <v>60.69</v>
      </c>
      <c r="J71" s="26"/>
      <c r="K71" s="26"/>
      <c r="L71" s="26"/>
      <c r="M71" s="26"/>
      <c r="N71" s="25"/>
      <c r="O71" s="25"/>
      <c r="P71" s="25"/>
      <c r="Q71" s="25"/>
      <c r="R71" s="26"/>
      <c r="S71" s="25"/>
      <c r="T71" s="25"/>
    </row>
    <row r="72" spans="1:24" ht="13.5" thickBot="1" x14ac:dyDescent="0.25">
      <c r="A72" s="250" t="s">
        <v>103</v>
      </c>
      <c r="B72" s="301" t="str">
        <f>+B71</f>
        <v>Base</v>
      </c>
      <c r="C72" s="100">
        <f t="shared" si="20"/>
        <v>2100</v>
      </c>
      <c r="D72" s="134">
        <f t="shared" si="21"/>
        <v>5.4749999999999996</v>
      </c>
      <c r="E72" s="135">
        <f t="shared" si="22"/>
        <v>227.55594083545537</v>
      </c>
      <c r="F72" s="102">
        <f t="shared" si="17"/>
        <v>50.526037500000001</v>
      </c>
      <c r="G72" s="100">
        <f t="shared" si="23"/>
        <v>8</v>
      </c>
      <c r="H72" s="102">
        <f t="shared" si="18"/>
        <v>58.526037500000001</v>
      </c>
      <c r="I72" s="308">
        <f t="shared" si="19"/>
        <v>60.69</v>
      </c>
      <c r="J72" s="26"/>
      <c r="K72" s="26"/>
      <c r="L72" s="26"/>
      <c r="M72" s="26"/>
      <c r="N72" s="25"/>
      <c r="O72" s="25"/>
      <c r="P72" s="25"/>
      <c r="Q72" s="25"/>
      <c r="R72" s="26"/>
      <c r="S72" s="25"/>
      <c r="T72" s="25"/>
    </row>
    <row r="73" spans="1:24" ht="13.5" thickBot="1" x14ac:dyDescent="0.25">
      <c r="A73" s="250" t="s">
        <v>104</v>
      </c>
      <c r="B73" s="301" t="str">
        <f t="shared" ref="B73:B74" si="26">+B72</f>
        <v>Base</v>
      </c>
      <c r="C73" s="100">
        <f>+HLOOKUP($B73,$I$18:$J$21,2,FALSE)</f>
        <v>2100</v>
      </c>
      <c r="D73" s="134">
        <f t="shared" si="21"/>
        <v>5.4749999999999996</v>
      </c>
      <c r="E73" s="135">
        <f t="shared" si="22"/>
        <v>227.55594083545537</v>
      </c>
      <c r="F73" s="102">
        <f t="shared" si="17"/>
        <v>50.526037500000001</v>
      </c>
      <c r="G73" s="100">
        <f t="shared" si="23"/>
        <v>8</v>
      </c>
      <c r="H73" s="102">
        <f t="shared" si="18"/>
        <v>58.526037500000001</v>
      </c>
      <c r="I73" s="308">
        <f t="shared" si="19"/>
        <v>60.69</v>
      </c>
      <c r="J73" s="26"/>
      <c r="K73" s="26"/>
      <c r="L73" s="26"/>
      <c r="M73" s="26"/>
      <c r="N73" s="25"/>
      <c r="O73" s="25"/>
      <c r="P73" s="25"/>
      <c r="Q73" s="25"/>
      <c r="R73" s="26"/>
      <c r="S73" s="25"/>
      <c r="T73" s="25"/>
    </row>
    <row r="74" spans="1:24" ht="13.5" thickBot="1" x14ac:dyDescent="0.25">
      <c r="A74" s="252" t="s">
        <v>105</v>
      </c>
      <c r="B74" s="307" t="str">
        <f t="shared" si="26"/>
        <v>Base</v>
      </c>
      <c r="C74" s="100">
        <f>+HLOOKUP($B74,$I$18:$J$21,2,FALSE)</f>
        <v>2100</v>
      </c>
      <c r="D74" s="134">
        <f t="shared" si="21"/>
        <v>5.4749999999999996</v>
      </c>
      <c r="E74" s="135">
        <f t="shared" si="22"/>
        <v>227.55594083545537</v>
      </c>
      <c r="F74" s="102">
        <f t="shared" si="17"/>
        <v>50.526037500000001</v>
      </c>
      <c r="G74" s="100">
        <f t="shared" si="23"/>
        <v>8</v>
      </c>
      <c r="H74" s="102">
        <f t="shared" si="18"/>
        <v>58.526037500000001</v>
      </c>
      <c r="I74" s="314">
        <f t="shared" si="19"/>
        <v>60.69</v>
      </c>
      <c r="J74" s="26"/>
      <c r="K74" s="26"/>
      <c r="L74" s="26"/>
      <c r="M74" s="26"/>
      <c r="N74" s="25"/>
      <c r="O74" s="25"/>
      <c r="P74" s="25"/>
      <c r="Q74" s="25"/>
      <c r="R74" s="26"/>
      <c r="S74" s="25"/>
      <c r="T74" s="25"/>
    </row>
    <row r="75" spans="1:24" x14ac:dyDescent="0.2">
      <c r="A75" s="25"/>
      <c r="B75" s="25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5"/>
      <c r="O75" s="25"/>
      <c r="P75" s="25"/>
      <c r="Q75" s="25"/>
      <c r="R75" s="26"/>
      <c r="S75" s="25"/>
      <c r="T75" s="25"/>
    </row>
    <row r="76" spans="1:24" ht="13.5" thickBot="1" x14ac:dyDescent="0.25">
      <c r="A76" s="25"/>
      <c r="B76" s="304" t="s">
        <v>86</v>
      </c>
      <c r="C76" s="106">
        <f t="shared" ref="C76" si="27">+HLOOKUP($B76,$I$18:$J$21,2,FALSE)</f>
        <v>2150</v>
      </c>
      <c r="D76" s="256">
        <f t="shared" si="21"/>
        <v>392</v>
      </c>
      <c r="E76" s="257">
        <f t="shared" si="22"/>
        <v>8580</v>
      </c>
      <c r="F76" s="107">
        <f t="shared" ref="F76" si="28">+D76*C76/E76</f>
        <v>98.228438228438222</v>
      </c>
      <c r="G76" s="106">
        <f t="shared" ref="G76" si="29">+VLOOKUP(B76,$C$25:$D$26,2,FALSE)</f>
        <v>12</v>
      </c>
      <c r="H76" s="107">
        <f t="shared" ref="H76" si="30">+F76+G76</f>
        <v>110.22843822843822</v>
      </c>
      <c r="I76" s="311">
        <f t="shared" ref="I76" si="31">ROUND(+H76*$E$15,2)</f>
        <v>114.31</v>
      </c>
      <c r="J76" s="26"/>
      <c r="K76" s="26"/>
      <c r="L76" s="26"/>
      <c r="M76" s="26"/>
      <c r="N76" s="25"/>
      <c r="O76" s="25"/>
      <c r="P76" s="25"/>
      <c r="Q76" s="25"/>
      <c r="R76" s="26"/>
      <c r="S76" s="25"/>
      <c r="T76" s="25"/>
    </row>
    <row r="77" spans="1:24" x14ac:dyDescent="0.2">
      <c r="B77" s="25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5"/>
      <c r="O77" s="25"/>
      <c r="P77" s="25"/>
      <c r="Q77" s="25"/>
      <c r="R77" s="26"/>
      <c r="S77" s="25"/>
      <c r="T77" s="25"/>
    </row>
    <row r="78" spans="1:24" s="294" customFormat="1" ht="20.25" x14ac:dyDescent="0.3">
      <c r="A78" s="291"/>
      <c r="B78" s="292" t="s">
        <v>161</v>
      </c>
      <c r="C78" s="293"/>
      <c r="D78" s="293"/>
      <c r="E78" s="293"/>
      <c r="F78" s="293"/>
      <c r="G78" s="293"/>
      <c r="H78" s="293"/>
      <c r="I78" s="293"/>
      <c r="J78" s="293"/>
      <c r="K78" s="293"/>
      <c r="L78" s="293"/>
      <c r="M78" s="293"/>
      <c r="N78" s="291"/>
      <c r="O78" s="291"/>
      <c r="P78" s="291"/>
      <c r="Q78" s="291"/>
      <c r="R78" s="293"/>
      <c r="S78" s="291"/>
      <c r="T78" s="291"/>
    </row>
    <row r="79" spans="1:24" ht="13.5" thickBot="1" x14ac:dyDescent="0.25">
      <c r="A79" s="25"/>
      <c r="B79" s="25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5"/>
      <c r="O79" s="25"/>
      <c r="P79" s="25"/>
      <c r="Q79" s="25"/>
      <c r="R79" s="26"/>
      <c r="S79" s="25"/>
      <c r="T79" s="25"/>
    </row>
    <row r="80" spans="1:24" s="6" customFormat="1" ht="36.75" customHeight="1" thickBot="1" x14ac:dyDescent="0.25">
      <c r="A80" s="98"/>
      <c r="B80" s="345" t="s">
        <v>172</v>
      </c>
      <c r="C80" s="136" t="s">
        <v>133</v>
      </c>
      <c r="D80" s="136" t="s">
        <v>192</v>
      </c>
      <c r="E80" s="87" t="s">
        <v>108</v>
      </c>
      <c r="F80" s="136" t="s">
        <v>194</v>
      </c>
      <c r="G80" s="136" t="s">
        <v>293</v>
      </c>
      <c r="H80" s="329" t="s">
        <v>118</v>
      </c>
      <c r="J80" s="136" t="s">
        <v>292</v>
      </c>
      <c r="K80" s="136" t="s">
        <v>106</v>
      </c>
      <c r="L80" s="329" t="s">
        <v>297</v>
      </c>
      <c r="M80" s="136" t="s">
        <v>298</v>
      </c>
      <c r="X80" s="89"/>
    </row>
    <row r="81" spans="1:24" ht="13.5" thickBot="1" x14ac:dyDescent="0.25">
      <c r="A81" s="248" t="s">
        <v>94</v>
      </c>
      <c r="B81" s="249" t="str">
        <f>+$E$19</f>
        <v>Base</v>
      </c>
      <c r="C81" s="245">
        <f>+'Precios Ref Mercado'!G14</f>
        <v>68.939740571428587</v>
      </c>
      <c r="D81" s="246">
        <f t="shared" ref="D81:D92" si="32">+MAX(0,C81-I47)</f>
        <v>25.70974057142859</v>
      </c>
      <c r="E81" s="92">
        <f>+$K$19</f>
        <v>0.85</v>
      </c>
      <c r="F81" s="246">
        <f>IF(D81&gt;0,+$E$9*E81,0)</f>
        <v>85</v>
      </c>
      <c r="G81" s="88">
        <f>+K81-J81*24</f>
        <v>744</v>
      </c>
      <c r="H81" s="240">
        <f>+D81*F81*G81*$E$114</f>
        <v>1463295.5943634296</v>
      </c>
      <c r="I81" s="4"/>
      <c r="J81" s="88"/>
      <c r="K81" s="88">
        <f>24*31</f>
        <v>744</v>
      </c>
      <c r="L81" s="240">
        <f t="shared" ref="L81:L86" si="33">IF(AND($K$6="Si",$K$4="Si"),+J81*24*F81*$E$114*MAX(0,(C81-$I$60)),0)</f>
        <v>0</v>
      </c>
      <c r="M81" s="471">
        <f>IF($K$4="No",1,IF($K$6="Si",1,+G81/K81))</f>
        <v>1</v>
      </c>
      <c r="X81" s="93"/>
    </row>
    <row r="82" spans="1:24" ht="13.5" thickBot="1" x14ac:dyDescent="0.25">
      <c r="A82" s="250" t="s">
        <v>95</v>
      </c>
      <c r="B82" s="251" t="str">
        <f>+B81</f>
        <v>Base</v>
      </c>
      <c r="C82" s="91">
        <f>+'Precios Ref Mercado'!G15</f>
        <v>68.939740571428587</v>
      </c>
      <c r="D82" s="101">
        <f t="shared" si="32"/>
        <v>25.70974057142859</v>
      </c>
      <c r="E82" s="92">
        <f t="shared" ref="E82:E84" si="34">+$K$19</f>
        <v>0.85</v>
      </c>
      <c r="F82" s="246">
        <f t="shared" ref="F82:F84" si="35">IF(D82&gt;0,+$E$9*E82,0)</f>
        <v>85</v>
      </c>
      <c r="G82" s="88">
        <f t="shared" ref="G82:G92" si="36">+K82-J82*24</f>
        <v>672</v>
      </c>
      <c r="H82" s="240">
        <f t="shared" ref="H82:H92" si="37">+D82*F82*G82*$E$114</f>
        <v>1321686.343296001</v>
      </c>
      <c r="I82" s="4"/>
      <c r="J82" s="88"/>
      <c r="K82" s="88">
        <f>28*24</f>
        <v>672</v>
      </c>
      <c r="L82" s="240">
        <f t="shared" si="33"/>
        <v>0</v>
      </c>
      <c r="M82" s="471">
        <f t="shared" ref="M82:M92" si="38">IF($K$4="No",1,IF($K$6="Si",1,+G82/K82))</f>
        <v>1</v>
      </c>
      <c r="X82" s="93"/>
    </row>
    <row r="83" spans="1:24" ht="13.5" thickBot="1" x14ac:dyDescent="0.25">
      <c r="A83" s="250" t="s">
        <v>96</v>
      </c>
      <c r="B83" s="251" t="str">
        <f t="shared" ref="B83:B84" si="39">+B82</f>
        <v>Base</v>
      </c>
      <c r="C83" s="91">
        <f>+'Precios Ref Mercado'!G16</f>
        <v>68.939740571428587</v>
      </c>
      <c r="D83" s="101">
        <f t="shared" si="32"/>
        <v>25.70974057142859</v>
      </c>
      <c r="E83" s="92">
        <f t="shared" si="34"/>
        <v>0.85</v>
      </c>
      <c r="F83" s="246">
        <f t="shared" si="35"/>
        <v>85</v>
      </c>
      <c r="G83" s="88">
        <f t="shared" si="36"/>
        <v>744</v>
      </c>
      <c r="H83" s="240">
        <f t="shared" si="37"/>
        <v>1463295.5943634296</v>
      </c>
      <c r="I83" s="4"/>
      <c r="J83" s="88"/>
      <c r="K83" s="88">
        <f>24*31</f>
        <v>744</v>
      </c>
      <c r="L83" s="240">
        <f t="shared" si="33"/>
        <v>0</v>
      </c>
      <c r="M83" s="471">
        <f t="shared" si="38"/>
        <v>1</v>
      </c>
      <c r="X83" s="93"/>
    </row>
    <row r="84" spans="1:24" ht="13.5" thickBot="1" x14ac:dyDescent="0.25">
      <c r="A84" s="258" t="s">
        <v>97</v>
      </c>
      <c r="B84" s="259" t="str">
        <f t="shared" si="39"/>
        <v>Base</v>
      </c>
      <c r="C84" s="274">
        <f>+'Precios Ref Mercado'!G17</f>
        <v>63.861428857142862</v>
      </c>
      <c r="D84" s="275">
        <f t="shared" si="32"/>
        <v>20.631428857142865</v>
      </c>
      <c r="E84" s="92">
        <f t="shared" si="34"/>
        <v>0.85</v>
      </c>
      <c r="F84" s="246">
        <f t="shared" si="35"/>
        <v>85</v>
      </c>
      <c r="G84" s="88">
        <f t="shared" si="36"/>
        <v>720</v>
      </c>
      <c r="H84" s="240">
        <f t="shared" si="37"/>
        <v>1136379.1014514291</v>
      </c>
      <c r="I84" s="4"/>
      <c r="J84" s="88"/>
      <c r="K84" s="136">
        <f>30*24</f>
        <v>720</v>
      </c>
      <c r="L84" s="240">
        <f t="shared" si="33"/>
        <v>0</v>
      </c>
      <c r="M84" s="471">
        <f t="shared" si="38"/>
        <v>1</v>
      </c>
      <c r="X84" s="93"/>
    </row>
    <row r="85" spans="1:24" ht="13.5" thickBot="1" x14ac:dyDescent="0.25">
      <c r="A85" s="346" t="s">
        <v>98</v>
      </c>
      <c r="B85" s="347" t="str">
        <f>+$E$20</f>
        <v>Alternativo</v>
      </c>
      <c r="C85" s="277">
        <f>+'Precios Ref Mercado'!G18</f>
        <v>118.92307692307692</v>
      </c>
      <c r="D85" s="278">
        <f t="shared" si="32"/>
        <v>40.153076923076924</v>
      </c>
      <c r="E85" s="348">
        <f>+$K$20</f>
        <v>0.9</v>
      </c>
      <c r="F85" s="278">
        <f>IF(D85&gt;0,+$E$10*E85,0)</f>
        <v>99</v>
      </c>
      <c r="G85" s="278">
        <f t="shared" si="36"/>
        <v>744</v>
      </c>
      <c r="H85" s="240">
        <f t="shared" si="37"/>
        <v>2661763.5304615386</v>
      </c>
      <c r="I85" s="4"/>
      <c r="J85" s="88"/>
      <c r="K85" s="243">
        <f>24*31</f>
        <v>744</v>
      </c>
      <c r="L85" s="240">
        <f t="shared" si="33"/>
        <v>0</v>
      </c>
      <c r="M85" s="471">
        <f t="shared" si="38"/>
        <v>1</v>
      </c>
      <c r="X85" s="93"/>
    </row>
    <row r="86" spans="1:24" ht="13.5" thickBot="1" x14ac:dyDescent="0.25">
      <c r="A86" s="349" t="s">
        <v>99</v>
      </c>
      <c r="B86" s="350" t="str">
        <f>+B85</f>
        <v>Alternativo</v>
      </c>
      <c r="C86" s="241">
        <f>+'Precios Ref Mercado'!G19</f>
        <v>128.64335664335664</v>
      </c>
      <c r="D86" s="242">
        <f t="shared" si="32"/>
        <v>49.873356643356644</v>
      </c>
      <c r="E86" s="348">
        <f t="shared" ref="E86:E88" si="40">+$K$20</f>
        <v>0.9</v>
      </c>
      <c r="F86" s="278">
        <f t="shared" ref="F86:F88" si="41">IF(D86&gt;0,+$E$10*E86,0)</f>
        <v>99</v>
      </c>
      <c r="G86" s="278">
        <f t="shared" si="36"/>
        <v>720</v>
      </c>
      <c r="H86" s="240">
        <f t="shared" si="37"/>
        <v>3199475.5753846159</v>
      </c>
      <c r="I86" s="4"/>
      <c r="J86" s="88">
        <f>IF($K$4="Si",+(MAX(0,(($K$5+30)-(31)))/2),0)</f>
        <v>0</v>
      </c>
      <c r="K86" s="243">
        <f>30*24</f>
        <v>720</v>
      </c>
      <c r="L86" s="240">
        <f t="shared" si="33"/>
        <v>0</v>
      </c>
      <c r="M86" s="471">
        <f t="shared" si="38"/>
        <v>1</v>
      </c>
      <c r="X86" s="93"/>
    </row>
    <row r="87" spans="1:24" ht="13.5" thickBot="1" x14ac:dyDescent="0.25">
      <c r="A87" s="349" t="s">
        <v>100</v>
      </c>
      <c r="B87" s="350" t="str">
        <f t="shared" ref="B87:B88" si="42">+B86</f>
        <v>Alternativo</v>
      </c>
      <c r="C87" s="241">
        <f>+'Precios Ref Mercado'!G20</f>
        <v>128.64335664335664</v>
      </c>
      <c r="D87" s="242">
        <f t="shared" si="32"/>
        <v>49.873356643356644</v>
      </c>
      <c r="E87" s="348">
        <f t="shared" si="40"/>
        <v>0.9</v>
      </c>
      <c r="F87" s="278">
        <f t="shared" si="41"/>
        <v>99</v>
      </c>
      <c r="G87" s="278">
        <f t="shared" si="36"/>
        <v>744</v>
      </c>
      <c r="H87" s="240">
        <f t="shared" si="37"/>
        <v>3306124.7612307696</v>
      </c>
      <c r="I87" s="4"/>
      <c r="J87" s="88">
        <f>IF($K$4="Si",+MIN(31,$K$5+30),0)</f>
        <v>0</v>
      </c>
      <c r="K87" s="243">
        <f t="shared" ref="K87:K88" si="43">24*31</f>
        <v>744</v>
      </c>
      <c r="L87" s="240">
        <f>IF(AND($K$6="Si",$K$4="Si"),+J87*24*F87*$E$114*MAX(0,(C87-$I$60)),0)</f>
        <v>0</v>
      </c>
      <c r="M87" s="471">
        <f t="shared" si="38"/>
        <v>1</v>
      </c>
      <c r="X87" s="93"/>
    </row>
    <row r="88" spans="1:24" ht="13.5" thickBot="1" x14ac:dyDescent="0.25">
      <c r="A88" s="351" t="s">
        <v>101</v>
      </c>
      <c r="B88" s="352" t="str">
        <f t="shared" si="42"/>
        <v>Alternativo</v>
      </c>
      <c r="C88" s="241">
        <f>+'Precios Ref Mercado'!G21</f>
        <v>128.64335664335664</v>
      </c>
      <c r="D88" s="242">
        <f t="shared" si="32"/>
        <v>49.873356643356644</v>
      </c>
      <c r="E88" s="348">
        <f t="shared" si="40"/>
        <v>0.9</v>
      </c>
      <c r="F88" s="278">
        <f t="shared" si="41"/>
        <v>99</v>
      </c>
      <c r="G88" s="278">
        <f t="shared" si="36"/>
        <v>744</v>
      </c>
      <c r="H88" s="240">
        <f t="shared" si="37"/>
        <v>3306124.7612307696</v>
      </c>
      <c r="I88" s="4"/>
      <c r="J88" s="88">
        <f>IF($K$4="Si",+(MAX(0,(($K$5+30)-(31)))/2),0)</f>
        <v>0</v>
      </c>
      <c r="K88" s="243">
        <f t="shared" si="43"/>
        <v>744</v>
      </c>
      <c r="L88" s="240">
        <f t="shared" ref="L88:L92" si="44">IF(AND($K$6="Si",$K$4="Si"),+J88*24*F88*$E$114*MAX(0,(D88-$I$60)),0)</f>
        <v>0</v>
      </c>
      <c r="M88" s="471">
        <f t="shared" si="38"/>
        <v>1</v>
      </c>
      <c r="X88" s="93"/>
    </row>
    <row r="89" spans="1:24" ht="13.5" thickBot="1" x14ac:dyDescent="0.25">
      <c r="A89" s="264" t="s">
        <v>102</v>
      </c>
      <c r="B89" s="265" t="str">
        <f>+B84</f>
        <v>Base</v>
      </c>
      <c r="C89" s="91">
        <f>+'Precios Ref Mercado'!G22</f>
        <v>63.861428857142862</v>
      </c>
      <c r="D89" s="101">
        <f t="shared" si="32"/>
        <v>20.631428857142865</v>
      </c>
      <c r="E89" s="92">
        <f>+$K$21</f>
        <v>0.85</v>
      </c>
      <c r="F89" s="246">
        <f>IF(D89&gt;0,+$E$11*E89,0)</f>
        <v>76.5</v>
      </c>
      <c r="G89" s="88">
        <f t="shared" si="36"/>
        <v>720</v>
      </c>
      <c r="H89" s="240">
        <f t="shared" si="37"/>
        <v>1022741.1913062861</v>
      </c>
      <c r="I89" s="4"/>
      <c r="J89" s="88"/>
      <c r="K89" s="276">
        <f>30*24</f>
        <v>720</v>
      </c>
      <c r="L89" s="240">
        <f t="shared" si="44"/>
        <v>0</v>
      </c>
      <c r="M89" s="471">
        <f t="shared" si="38"/>
        <v>1</v>
      </c>
      <c r="X89" s="93"/>
    </row>
    <row r="90" spans="1:24" ht="13.5" thickBot="1" x14ac:dyDescent="0.25">
      <c r="A90" s="250" t="s">
        <v>103</v>
      </c>
      <c r="B90" s="251" t="str">
        <f>+B89</f>
        <v>Base</v>
      </c>
      <c r="C90" s="91">
        <f>+'Precios Ref Mercado'!G23</f>
        <v>63.861428857142862</v>
      </c>
      <c r="D90" s="101">
        <f t="shared" si="32"/>
        <v>20.631428857142865</v>
      </c>
      <c r="E90" s="92">
        <f t="shared" ref="E90:E92" si="45">+$K$21</f>
        <v>0.85</v>
      </c>
      <c r="F90" s="246">
        <f t="shared" ref="F90:F92" si="46">IF(D90&gt;0,+$E$11*E90,0)</f>
        <v>76.5</v>
      </c>
      <c r="G90" s="88">
        <f t="shared" si="36"/>
        <v>744</v>
      </c>
      <c r="H90" s="240">
        <f t="shared" si="37"/>
        <v>1056832.564349829</v>
      </c>
      <c r="I90" s="4"/>
      <c r="J90" s="88"/>
      <c r="K90" s="88">
        <f>24*31</f>
        <v>744</v>
      </c>
      <c r="L90" s="240">
        <f t="shared" si="44"/>
        <v>0</v>
      </c>
      <c r="M90" s="471">
        <f t="shared" si="38"/>
        <v>1</v>
      </c>
      <c r="X90" s="93"/>
    </row>
    <row r="91" spans="1:24" ht="13.5" thickBot="1" x14ac:dyDescent="0.25">
      <c r="A91" s="250" t="s">
        <v>104</v>
      </c>
      <c r="B91" s="251" t="str">
        <f t="shared" ref="B91:B92" si="47">+B90</f>
        <v>Base</v>
      </c>
      <c r="C91" s="91">
        <f>+'Precios Ref Mercado'!G24</f>
        <v>63.861428857142862</v>
      </c>
      <c r="D91" s="101">
        <f t="shared" si="32"/>
        <v>20.631428857142865</v>
      </c>
      <c r="E91" s="92">
        <f t="shared" si="45"/>
        <v>0.85</v>
      </c>
      <c r="F91" s="246">
        <f t="shared" si="46"/>
        <v>76.5</v>
      </c>
      <c r="G91" s="88">
        <f t="shared" si="36"/>
        <v>720</v>
      </c>
      <c r="H91" s="240">
        <f t="shared" si="37"/>
        <v>1022741.1913062861</v>
      </c>
      <c r="I91" s="4"/>
      <c r="J91" s="88"/>
      <c r="K91" s="88">
        <f>30*24</f>
        <v>720</v>
      </c>
      <c r="L91" s="240">
        <f t="shared" si="44"/>
        <v>0</v>
      </c>
      <c r="M91" s="471">
        <f t="shared" si="38"/>
        <v>1</v>
      </c>
      <c r="X91" s="93"/>
    </row>
    <row r="92" spans="1:24" ht="13.5" thickBot="1" x14ac:dyDescent="0.25">
      <c r="A92" s="252" t="s">
        <v>105</v>
      </c>
      <c r="B92" s="253" t="str">
        <f t="shared" si="47"/>
        <v>Base</v>
      </c>
      <c r="C92" s="91">
        <f>+'Precios Ref Mercado'!G25</f>
        <v>68.939740571428587</v>
      </c>
      <c r="D92" s="101">
        <f t="shared" si="32"/>
        <v>25.70974057142859</v>
      </c>
      <c r="E92" s="92">
        <f t="shared" si="45"/>
        <v>0.85</v>
      </c>
      <c r="F92" s="246">
        <f t="shared" si="46"/>
        <v>76.5</v>
      </c>
      <c r="G92" s="88">
        <f t="shared" si="36"/>
        <v>744</v>
      </c>
      <c r="H92" s="240">
        <f t="shared" si="37"/>
        <v>1316966.0349270867</v>
      </c>
      <c r="I92" s="4"/>
      <c r="J92" s="88"/>
      <c r="K92" s="88">
        <f>24*31</f>
        <v>744</v>
      </c>
      <c r="L92" s="240">
        <f t="shared" si="44"/>
        <v>0</v>
      </c>
      <c r="M92" s="471">
        <f t="shared" si="38"/>
        <v>1</v>
      </c>
      <c r="X92" s="93"/>
    </row>
    <row r="93" spans="1:24" ht="13.5" thickBot="1" x14ac:dyDescent="0.25">
      <c r="A93" s="99"/>
      <c r="B93" s="99"/>
      <c r="C93" s="99"/>
      <c r="D93" s="99"/>
      <c r="E93" s="99"/>
      <c r="F93" s="99"/>
      <c r="G93" s="99"/>
      <c r="H93" s="105"/>
      <c r="I93" s="4"/>
      <c r="J93" s="99"/>
      <c r="K93" s="99"/>
      <c r="P93" s="99"/>
      <c r="X93" s="90"/>
    </row>
    <row r="94" spans="1:24" s="22" customFormat="1" ht="19.5" customHeight="1" thickBot="1" x14ac:dyDescent="0.25">
      <c r="A94" s="286"/>
      <c r="B94" s="287" t="s">
        <v>107</v>
      </c>
      <c r="C94" s="284">
        <f t="shared" ref="C94" si="48">AVERAGE(C81:C92)</f>
        <v>86.338152047286044</v>
      </c>
      <c r="D94" s="284">
        <f>+AVERAGE(D81:D92)</f>
        <v>31.261485380619391</v>
      </c>
      <c r="E94" s="284"/>
      <c r="F94" s="288"/>
      <c r="G94" s="330" t="s">
        <v>169</v>
      </c>
      <c r="H94" s="333">
        <f>+SUM(H81:H92)+L94</f>
        <v>22277426.243671469</v>
      </c>
      <c r="I94" s="345" t="s">
        <v>172</v>
      </c>
      <c r="J94" s="286"/>
      <c r="K94" s="99"/>
      <c r="L94" s="486">
        <f>+SUM(L81:L92)</f>
        <v>0</v>
      </c>
      <c r="P94" s="286"/>
      <c r="Q94" s="286"/>
      <c r="X94" s="290"/>
    </row>
    <row r="95" spans="1:24" ht="13.5" thickBot="1" x14ac:dyDescent="0.25">
      <c r="A95" s="99"/>
      <c r="B95" s="99"/>
      <c r="C95" s="99"/>
      <c r="D95" s="99"/>
      <c r="F95" s="99"/>
      <c r="G95" s="99"/>
      <c r="H95" s="99"/>
      <c r="I95" s="99"/>
      <c r="J95" s="99"/>
      <c r="K95" s="108"/>
      <c r="L95" s="109"/>
      <c r="M95" s="109"/>
      <c r="N95" s="99"/>
      <c r="O95" s="99"/>
      <c r="P95" s="99"/>
      <c r="W95" s="90"/>
    </row>
    <row r="96" spans="1:24" s="6" customFormat="1" ht="30" customHeight="1" thickBot="1" x14ac:dyDescent="0.25">
      <c r="A96" s="98"/>
      <c r="B96" s="345" t="s">
        <v>171</v>
      </c>
      <c r="C96" s="136" t="s">
        <v>133</v>
      </c>
      <c r="D96" s="136" t="s">
        <v>192</v>
      </c>
      <c r="E96" s="87" t="s">
        <v>108</v>
      </c>
      <c r="F96" s="136" t="s">
        <v>194</v>
      </c>
      <c r="G96" s="136" t="s">
        <v>106</v>
      </c>
      <c r="H96" s="329" t="s">
        <v>118</v>
      </c>
      <c r="J96" s="136" t="s">
        <v>292</v>
      </c>
      <c r="K96" s="136" t="s">
        <v>106</v>
      </c>
      <c r="L96" s="329" t="s">
        <v>297</v>
      </c>
      <c r="M96" s="136" t="s">
        <v>298</v>
      </c>
      <c r="X96" s="89"/>
    </row>
    <row r="97" spans="1:24" ht="13.5" thickBot="1" x14ac:dyDescent="0.25">
      <c r="A97" s="248" t="s">
        <v>94</v>
      </c>
      <c r="B97" s="249" t="str">
        <f>+$E$19</f>
        <v>Base</v>
      </c>
      <c r="C97" s="245">
        <f>+'Precios Ref Mercado'!G14</f>
        <v>68.939740571428587</v>
      </c>
      <c r="D97" s="246">
        <f t="shared" ref="D97:D108" si="49">+MAX(0,C97-I63)</f>
        <v>8.249740571428589</v>
      </c>
      <c r="E97" s="92">
        <f>+$K$19</f>
        <v>0.85</v>
      </c>
      <c r="F97" s="246">
        <f>IF(D97&gt;0,+$E$9*(1-E97),0)</f>
        <v>15.000000000000002</v>
      </c>
      <c r="G97" s="88">
        <f>24*31</f>
        <v>744</v>
      </c>
      <c r="H97" s="240">
        <f>+D97*F97*G97*$E$114</f>
        <v>82860.39429942875</v>
      </c>
      <c r="I97" s="4"/>
      <c r="J97" s="88"/>
      <c r="K97" s="88">
        <f>24*31</f>
        <v>744</v>
      </c>
      <c r="L97" s="240">
        <f>IF(AND($K$6="Si",$K$4="Si"),+J97*24*F97*$E$114*MAX(0,(C97-$I$76)),0)</f>
        <v>0</v>
      </c>
      <c r="M97" s="471">
        <f>IF($K$4="No",1,IF($K$6="No",1,+G97/K97))</f>
        <v>1</v>
      </c>
      <c r="X97" s="93"/>
    </row>
    <row r="98" spans="1:24" ht="13.5" thickBot="1" x14ac:dyDescent="0.25">
      <c r="A98" s="250" t="s">
        <v>95</v>
      </c>
      <c r="B98" s="251" t="str">
        <f>+B97</f>
        <v>Base</v>
      </c>
      <c r="C98" s="245">
        <f>+'Precios Ref Mercado'!G15</f>
        <v>68.939740571428587</v>
      </c>
      <c r="D98" s="246">
        <f t="shared" si="49"/>
        <v>8.249740571428589</v>
      </c>
      <c r="E98" s="92">
        <f t="shared" ref="E98:E100" si="50">+$K$19</f>
        <v>0.85</v>
      </c>
      <c r="F98" s="246">
        <f t="shared" ref="F98:F100" si="51">IF(D98&gt;0,+$E$9*(1-E98),0)</f>
        <v>15.000000000000002</v>
      </c>
      <c r="G98" s="88">
        <f>28*24</f>
        <v>672</v>
      </c>
      <c r="H98" s="240">
        <f t="shared" ref="H98:H108" si="52">+D98*F98*G98*$E$114</f>
        <v>74841.646464000165</v>
      </c>
      <c r="I98" s="4"/>
      <c r="J98" s="88"/>
      <c r="K98" s="88">
        <f>28*24</f>
        <v>672</v>
      </c>
      <c r="L98" s="240">
        <f t="shared" ref="L98:L108" si="53">IF(AND($K$6="Si",$K$4="Si"),+J98*24*F98*$E$114*MAX(0,(C98-$I$76)),0)</f>
        <v>0</v>
      </c>
      <c r="M98" s="471">
        <f t="shared" ref="M98:M108" si="54">IF($K$4="No",1,IF($K$6="No",1,+G98/K98))</f>
        <v>1</v>
      </c>
      <c r="X98" s="93"/>
    </row>
    <row r="99" spans="1:24" ht="13.5" thickBot="1" x14ac:dyDescent="0.25">
      <c r="A99" s="250" t="s">
        <v>96</v>
      </c>
      <c r="B99" s="251" t="str">
        <f t="shared" ref="B99:B100" si="55">+B98</f>
        <v>Base</v>
      </c>
      <c r="C99" s="245">
        <f>+'Precios Ref Mercado'!G16</f>
        <v>68.939740571428587</v>
      </c>
      <c r="D99" s="246">
        <f t="shared" si="49"/>
        <v>8.249740571428589</v>
      </c>
      <c r="E99" s="92">
        <f t="shared" si="50"/>
        <v>0.85</v>
      </c>
      <c r="F99" s="246">
        <f t="shared" si="51"/>
        <v>15.000000000000002</v>
      </c>
      <c r="G99" s="88">
        <f>24*31</f>
        <v>744</v>
      </c>
      <c r="H99" s="240">
        <f t="shared" si="52"/>
        <v>82860.39429942875</v>
      </c>
      <c r="I99" s="4"/>
      <c r="J99" s="88"/>
      <c r="K99" s="88">
        <f>24*31</f>
        <v>744</v>
      </c>
      <c r="L99" s="240">
        <f t="shared" si="53"/>
        <v>0</v>
      </c>
      <c r="M99" s="471">
        <f t="shared" si="54"/>
        <v>1</v>
      </c>
      <c r="X99" s="93"/>
    </row>
    <row r="100" spans="1:24" ht="13.5" thickBot="1" x14ac:dyDescent="0.25">
      <c r="A100" s="258" t="s">
        <v>97</v>
      </c>
      <c r="B100" s="259" t="str">
        <f t="shared" si="55"/>
        <v>Base</v>
      </c>
      <c r="C100" s="245">
        <f>+'Precios Ref Mercado'!G17</f>
        <v>63.861428857142862</v>
      </c>
      <c r="D100" s="246">
        <f t="shared" si="49"/>
        <v>3.1714288571428639</v>
      </c>
      <c r="E100" s="92">
        <f t="shared" si="50"/>
        <v>0.85</v>
      </c>
      <c r="F100" s="246">
        <f t="shared" si="51"/>
        <v>15.000000000000002</v>
      </c>
      <c r="G100" s="136">
        <f>30*24</f>
        <v>720</v>
      </c>
      <c r="H100" s="240">
        <f t="shared" si="52"/>
        <v>30826.288491428644</v>
      </c>
      <c r="I100" s="4"/>
      <c r="J100" s="88"/>
      <c r="K100" s="136">
        <f>30*24</f>
        <v>720</v>
      </c>
      <c r="L100" s="240">
        <f t="shared" si="53"/>
        <v>0</v>
      </c>
      <c r="M100" s="471">
        <f t="shared" si="54"/>
        <v>1</v>
      </c>
      <c r="X100" s="93"/>
    </row>
    <row r="101" spans="1:24" ht="13.5" thickBot="1" x14ac:dyDescent="0.25">
      <c r="A101" s="346" t="s">
        <v>98</v>
      </c>
      <c r="B101" s="347" t="str">
        <f>+$E$20</f>
        <v>Alternativo</v>
      </c>
      <c r="C101" s="277">
        <f>+'Precios Ref Mercado'!G18</f>
        <v>118.92307692307692</v>
      </c>
      <c r="D101" s="278">
        <f t="shared" si="49"/>
        <v>4.6130769230769175</v>
      </c>
      <c r="E101" s="348">
        <f>+$K$20</f>
        <v>0.9</v>
      </c>
      <c r="F101" s="278">
        <f>IF(D101&gt;0,+$E$10*(1-E101),0)</f>
        <v>10.999999999999998</v>
      </c>
      <c r="G101" s="243">
        <f>24*31</f>
        <v>744</v>
      </c>
      <c r="H101" s="240">
        <f t="shared" si="52"/>
        <v>33978.079384615339</v>
      </c>
      <c r="I101" s="4"/>
      <c r="J101" s="88"/>
      <c r="K101" s="243">
        <f>24*31</f>
        <v>744</v>
      </c>
      <c r="L101" s="240">
        <f t="shared" si="53"/>
        <v>0</v>
      </c>
      <c r="M101" s="471">
        <f t="shared" si="54"/>
        <v>1</v>
      </c>
      <c r="X101" s="93"/>
    </row>
    <row r="102" spans="1:24" ht="13.5" thickBot="1" x14ac:dyDescent="0.25">
      <c r="A102" s="349" t="s">
        <v>99</v>
      </c>
      <c r="B102" s="350" t="str">
        <f>+B101</f>
        <v>Alternativo</v>
      </c>
      <c r="C102" s="277">
        <f>+'Precios Ref Mercado'!G19</f>
        <v>128.64335664335664</v>
      </c>
      <c r="D102" s="278">
        <f t="shared" si="49"/>
        <v>14.333356643356638</v>
      </c>
      <c r="E102" s="348">
        <f t="shared" ref="E102:E104" si="56">+$K$20</f>
        <v>0.9</v>
      </c>
      <c r="F102" s="278">
        <f t="shared" ref="F102:F104" si="57">IF(D102&gt;0,+$E$10*(1-E102),0)</f>
        <v>10.999999999999998</v>
      </c>
      <c r="G102" s="243">
        <f>30*24</f>
        <v>720</v>
      </c>
      <c r="H102" s="240">
        <f t="shared" si="52"/>
        <v>102168.1661538461</v>
      </c>
      <c r="I102" s="4"/>
      <c r="J102" s="88">
        <f>IF($K$4="Si",+(MAX(0,(($K$5+30)-(31)))/2),0)</f>
        <v>0</v>
      </c>
      <c r="K102" s="243">
        <f>30*24</f>
        <v>720</v>
      </c>
      <c r="L102" s="240">
        <f t="shared" si="53"/>
        <v>0</v>
      </c>
      <c r="M102" s="471">
        <f t="shared" si="54"/>
        <v>1</v>
      </c>
      <c r="X102" s="93"/>
    </row>
    <row r="103" spans="1:24" ht="13.5" thickBot="1" x14ac:dyDescent="0.25">
      <c r="A103" s="349" t="s">
        <v>100</v>
      </c>
      <c r="B103" s="350" t="str">
        <f t="shared" ref="B103:B104" si="58">+B102</f>
        <v>Alternativo</v>
      </c>
      <c r="C103" s="277">
        <f>+'Precios Ref Mercado'!G20</f>
        <v>128.64335664335664</v>
      </c>
      <c r="D103" s="278">
        <f t="shared" si="49"/>
        <v>14.333356643356638</v>
      </c>
      <c r="E103" s="348">
        <f t="shared" si="56"/>
        <v>0.9</v>
      </c>
      <c r="F103" s="278">
        <f t="shared" si="57"/>
        <v>10.999999999999998</v>
      </c>
      <c r="G103" s="243">
        <f t="shared" ref="G103:G104" si="59">24*31</f>
        <v>744</v>
      </c>
      <c r="H103" s="240">
        <f t="shared" si="52"/>
        <v>105573.77169230764</v>
      </c>
      <c r="I103" s="4"/>
      <c r="J103" s="88">
        <f>IF($K$4="Si",+MIN(31,$K$5+30),0)</f>
        <v>0</v>
      </c>
      <c r="K103" s="243">
        <f t="shared" ref="K103:K104" si="60">24*31</f>
        <v>744</v>
      </c>
      <c r="L103" s="240">
        <f t="shared" si="53"/>
        <v>0</v>
      </c>
      <c r="M103" s="471">
        <f t="shared" si="54"/>
        <v>1</v>
      </c>
      <c r="X103" s="93"/>
    </row>
    <row r="104" spans="1:24" ht="13.5" thickBot="1" x14ac:dyDescent="0.25">
      <c r="A104" s="351" t="s">
        <v>101</v>
      </c>
      <c r="B104" s="352" t="str">
        <f t="shared" si="58"/>
        <v>Alternativo</v>
      </c>
      <c r="C104" s="277">
        <f>+'Precios Ref Mercado'!G21</f>
        <v>128.64335664335664</v>
      </c>
      <c r="D104" s="278">
        <f t="shared" si="49"/>
        <v>14.333356643356638</v>
      </c>
      <c r="E104" s="348">
        <f t="shared" si="56"/>
        <v>0.9</v>
      </c>
      <c r="F104" s="278">
        <f t="shared" si="57"/>
        <v>10.999999999999998</v>
      </c>
      <c r="G104" s="243">
        <f t="shared" si="59"/>
        <v>744</v>
      </c>
      <c r="H104" s="240">
        <f t="shared" si="52"/>
        <v>105573.77169230764</v>
      </c>
      <c r="I104" s="4"/>
      <c r="J104" s="88">
        <f>IF($K$4="Si",+(MAX(0,(($K$5+30)-(31)))/2),0)</f>
        <v>0</v>
      </c>
      <c r="K104" s="243">
        <f t="shared" si="60"/>
        <v>744</v>
      </c>
      <c r="L104" s="240">
        <f t="shared" si="53"/>
        <v>0</v>
      </c>
      <c r="M104" s="471">
        <f t="shared" si="54"/>
        <v>1</v>
      </c>
      <c r="X104" s="93"/>
    </row>
    <row r="105" spans="1:24" ht="13.5" thickBot="1" x14ac:dyDescent="0.25">
      <c r="A105" s="264" t="s">
        <v>102</v>
      </c>
      <c r="B105" s="265" t="str">
        <f>+B100</f>
        <v>Base</v>
      </c>
      <c r="C105" s="245">
        <f>+'Precios Ref Mercado'!G22</f>
        <v>63.861428857142862</v>
      </c>
      <c r="D105" s="246">
        <f t="shared" si="49"/>
        <v>3.1714288571428639</v>
      </c>
      <c r="E105" s="92">
        <f>+$K$21</f>
        <v>0.85</v>
      </c>
      <c r="F105" s="246">
        <f>IF(D105&gt;0,+$E$11*(1-E105),0)</f>
        <v>13.500000000000002</v>
      </c>
      <c r="G105" s="276">
        <f>30*24</f>
        <v>720</v>
      </c>
      <c r="H105" s="240">
        <f t="shared" si="52"/>
        <v>27743.659642285776</v>
      </c>
      <c r="I105" s="4"/>
      <c r="J105" s="88"/>
      <c r="K105" s="276">
        <f>30*24</f>
        <v>720</v>
      </c>
      <c r="L105" s="240">
        <f t="shared" si="53"/>
        <v>0</v>
      </c>
      <c r="M105" s="471">
        <f t="shared" si="54"/>
        <v>1</v>
      </c>
      <c r="X105" s="93"/>
    </row>
    <row r="106" spans="1:24" ht="13.5" thickBot="1" x14ac:dyDescent="0.25">
      <c r="A106" s="250" t="s">
        <v>103</v>
      </c>
      <c r="B106" s="251" t="str">
        <f>+B105</f>
        <v>Base</v>
      </c>
      <c r="C106" s="245">
        <f>+'Precios Ref Mercado'!G23</f>
        <v>63.861428857142862</v>
      </c>
      <c r="D106" s="246">
        <f t="shared" si="49"/>
        <v>3.1714288571428639</v>
      </c>
      <c r="E106" s="92">
        <f t="shared" ref="E106:E108" si="61">+$K$21</f>
        <v>0.85</v>
      </c>
      <c r="F106" s="246">
        <f t="shared" ref="F106:F108" si="62">IF(D106&gt;0,+$E$11*(1-E106),0)</f>
        <v>13.500000000000002</v>
      </c>
      <c r="G106" s="88">
        <f>24*31</f>
        <v>744</v>
      </c>
      <c r="H106" s="240">
        <f t="shared" si="52"/>
        <v>28668.448297028634</v>
      </c>
      <c r="I106" s="4"/>
      <c r="J106" s="88"/>
      <c r="K106" s="88">
        <f>24*31</f>
        <v>744</v>
      </c>
      <c r="L106" s="240">
        <f t="shared" si="53"/>
        <v>0</v>
      </c>
      <c r="M106" s="471">
        <f t="shared" si="54"/>
        <v>1</v>
      </c>
      <c r="X106" s="93"/>
    </row>
    <row r="107" spans="1:24" ht="13.5" thickBot="1" x14ac:dyDescent="0.25">
      <c r="A107" s="250" t="s">
        <v>104</v>
      </c>
      <c r="B107" s="251" t="str">
        <f t="shared" ref="B107:B108" si="63">+B106</f>
        <v>Base</v>
      </c>
      <c r="C107" s="245">
        <f>+'Precios Ref Mercado'!G24</f>
        <v>63.861428857142862</v>
      </c>
      <c r="D107" s="246">
        <f t="shared" si="49"/>
        <v>3.1714288571428639</v>
      </c>
      <c r="E107" s="92">
        <f t="shared" si="61"/>
        <v>0.85</v>
      </c>
      <c r="F107" s="246">
        <f t="shared" si="62"/>
        <v>13.500000000000002</v>
      </c>
      <c r="G107" s="88">
        <f>30*24</f>
        <v>720</v>
      </c>
      <c r="H107" s="240">
        <f t="shared" si="52"/>
        <v>27743.659642285776</v>
      </c>
      <c r="I107" s="4"/>
      <c r="J107" s="88"/>
      <c r="K107" s="88">
        <f>30*24</f>
        <v>720</v>
      </c>
      <c r="L107" s="240">
        <f t="shared" si="53"/>
        <v>0</v>
      </c>
      <c r="M107" s="471">
        <f t="shared" si="54"/>
        <v>1</v>
      </c>
      <c r="X107" s="93"/>
    </row>
    <row r="108" spans="1:24" ht="13.5" thickBot="1" x14ac:dyDescent="0.25">
      <c r="A108" s="252" t="s">
        <v>105</v>
      </c>
      <c r="B108" s="253" t="str">
        <f t="shared" si="63"/>
        <v>Base</v>
      </c>
      <c r="C108" s="245">
        <f>+'Precios Ref Mercado'!G25</f>
        <v>68.939740571428587</v>
      </c>
      <c r="D108" s="246">
        <f t="shared" si="49"/>
        <v>8.249740571428589</v>
      </c>
      <c r="E108" s="92">
        <f t="shared" si="61"/>
        <v>0.85</v>
      </c>
      <c r="F108" s="246">
        <f t="shared" si="62"/>
        <v>13.500000000000002</v>
      </c>
      <c r="G108" s="88">
        <f>24*31</f>
        <v>744</v>
      </c>
      <c r="H108" s="240">
        <f t="shared" si="52"/>
        <v>74574.354869485891</v>
      </c>
      <c r="I108" s="4"/>
      <c r="J108" s="88"/>
      <c r="K108" s="88">
        <f>24*31</f>
        <v>744</v>
      </c>
      <c r="L108" s="240">
        <f t="shared" si="53"/>
        <v>0</v>
      </c>
      <c r="M108" s="471">
        <f t="shared" si="54"/>
        <v>1</v>
      </c>
      <c r="X108" s="93"/>
    </row>
    <row r="109" spans="1:24" ht="13.5" thickBot="1" x14ac:dyDescent="0.25">
      <c r="A109" s="99"/>
      <c r="B109" s="99"/>
      <c r="C109" s="99"/>
      <c r="D109" s="99"/>
      <c r="E109" s="99"/>
      <c r="F109" s="99"/>
      <c r="G109" s="99"/>
      <c r="H109" s="105"/>
      <c r="I109" s="4"/>
      <c r="J109" s="99"/>
      <c r="K109" s="99"/>
      <c r="P109" s="99"/>
      <c r="X109" s="90"/>
    </row>
    <row r="110" spans="1:24" s="22" customFormat="1" ht="19.5" customHeight="1" thickBot="1" x14ac:dyDescent="0.25">
      <c r="A110" s="286"/>
      <c r="B110" s="287" t="s">
        <v>107</v>
      </c>
      <c r="C110" s="284">
        <f t="shared" ref="C110:C112" si="64">AVERAGE(C97:C108)</f>
        <v>86.338152047286044</v>
      </c>
      <c r="D110" s="284">
        <f>+AVERAGE(D97:D108)</f>
        <v>7.7748187139527216</v>
      </c>
      <c r="E110" s="284"/>
      <c r="F110" s="288"/>
      <c r="G110" s="330" t="s">
        <v>169</v>
      </c>
      <c r="H110" s="333">
        <f>+SUM(H97:H108)+L110</f>
        <v>777412.63492844929</v>
      </c>
      <c r="I110" s="345" t="s">
        <v>171</v>
      </c>
      <c r="J110" s="286"/>
      <c r="K110" s="99"/>
      <c r="L110" s="486">
        <f>+SUM(L97:L108)</f>
        <v>0</v>
      </c>
      <c r="P110" s="286"/>
      <c r="Q110" s="286"/>
      <c r="X110" s="290"/>
    </row>
    <row r="111" spans="1:24" ht="13.5" thickBot="1" x14ac:dyDescent="0.25">
      <c r="A111" s="99"/>
      <c r="B111" s="99"/>
      <c r="C111" s="99"/>
      <c r="D111" s="99"/>
      <c r="F111" s="99"/>
      <c r="G111" s="99"/>
      <c r="H111" s="99"/>
      <c r="I111" s="99"/>
      <c r="J111" s="99"/>
      <c r="K111" s="108"/>
      <c r="L111" s="109"/>
      <c r="M111" s="109"/>
      <c r="N111" s="99"/>
      <c r="O111" s="99"/>
      <c r="P111" s="99"/>
      <c r="W111" s="90"/>
    </row>
    <row r="112" spans="1:24" s="22" customFormat="1" ht="19.5" customHeight="1" thickBot="1" x14ac:dyDescent="0.25">
      <c r="A112" s="286"/>
      <c r="B112" s="287" t="s">
        <v>107</v>
      </c>
      <c r="C112" s="284">
        <f t="shared" si="64"/>
        <v>89.501499588351052</v>
      </c>
      <c r="D112" s="284">
        <f>+AVERAGE(D99:D110)</f>
        <v>7.6884692853207461</v>
      </c>
      <c r="E112" s="284"/>
      <c r="F112" s="288"/>
      <c r="G112" s="330" t="s">
        <v>169</v>
      </c>
      <c r="H112" s="333">
        <f>+H110+H94</f>
        <v>23054838.878599919</v>
      </c>
      <c r="I112" s="345" t="s">
        <v>173</v>
      </c>
      <c r="J112" s="286"/>
      <c r="K112" s="99"/>
      <c r="L112" s="289"/>
      <c r="P112" s="286"/>
      <c r="Q112" s="286"/>
      <c r="X112" s="290"/>
    </row>
    <row r="113" spans="1:23" x14ac:dyDescent="0.2">
      <c r="A113" s="99"/>
      <c r="B113" s="99"/>
      <c r="C113" s="99"/>
      <c r="D113" s="99"/>
      <c r="F113" s="99"/>
      <c r="G113" s="99"/>
      <c r="H113" s="99"/>
      <c r="I113" s="99"/>
      <c r="J113" s="99"/>
      <c r="K113" s="108"/>
      <c r="L113" s="109"/>
      <c r="M113" s="109"/>
      <c r="N113" s="99"/>
      <c r="O113" s="99"/>
      <c r="P113" s="99"/>
      <c r="W113" s="90"/>
    </row>
    <row r="114" spans="1:23" x14ac:dyDescent="0.2">
      <c r="A114" s="99"/>
      <c r="B114" s="99"/>
      <c r="C114" s="99"/>
      <c r="D114" s="111" t="s">
        <v>93</v>
      </c>
      <c r="E114" s="112">
        <f>+'Parámetros Globales'!$D$3</f>
        <v>0.9</v>
      </c>
      <c r="F114" s="99"/>
      <c r="G114" s="110"/>
      <c r="H114" s="99"/>
      <c r="I114" s="99"/>
      <c r="J114" s="99"/>
      <c r="K114" s="99"/>
      <c r="L114" s="99"/>
      <c r="M114" s="99"/>
      <c r="N114" s="99"/>
      <c r="O114" s="99"/>
      <c r="P114" s="99"/>
      <c r="W114" s="90"/>
    </row>
    <row r="115" spans="1:23" x14ac:dyDescent="0.2">
      <c r="A115" s="99"/>
      <c r="B115" s="99"/>
      <c r="C115" s="99"/>
      <c r="D115" s="99"/>
      <c r="E115" s="99"/>
      <c r="F115" s="99"/>
      <c r="G115" s="99"/>
      <c r="H115" s="99"/>
      <c r="I115" s="99"/>
      <c r="J115" s="99"/>
      <c r="K115" s="99"/>
      <c r="L115" s="99"/>
      <c r="M115" s="99"/>
      <c r="N115" s="99"/>
      <c r="O115" s="99"/>
      <c r="P115" s="99"/>
      <c r="W115" s="90"/>
    </row>
    <row r="116" spans="1:23" x14ac:dyDescent="0.2">
      <c r="A116" s="90"/>
      <c r="B116" s="90"/>
      <c r="C116" s="90"/>
      <c r="D116" s="90"/>
      <c r="E116" s="90"/>
      <c r="F116" s="90"/>
      <c r="G116" s="90"/>
      <c r="H116" s="90"/>
      <c r="I116" s="90"/>
      <c r="J116" s="90"/>
      <c r="K116" s="90"/>
      <c r="L116" s="90"/>
      <c r="M116" s="90"/>
      <c r="N116" s="90"/>
      <c r="O116" s="90"/>
      <c r="P116" s="90"/>
      <c r="Q116" s="90"/>
      <c r="R116" s="90"/>
      <c r="S116" s="90"/>
      <c r="T116" s="90"/>
      <c r="U116" s="96"/>
      <c r="V116" s="90"/>
      <c r="W116" s="90"/>
    </row>
    <row r="117" spans="1:23" s="294" customFormat="1" ht="20.25" x14ac:dyDescent="0.3">
      <c r="A117" s="296"/>
      <c r="B117" s="292" t="s">
        <v>162</v>
      </c>
      <c r="C117" s="296"/>
      <c r="D117" s="296"/>
      <c r="E117" s="297"/>
      <c r="F117" s="296"/>
      <c r="G117" s="298"/>
      <c r="H117" s="298"/>
      <c r="I117" s="298"/>
      <c r="J117" s="296"/>
      <c r="K117" s="296"/>
      <c r="L117" s="296"/>
      <c r="M117" s="296"/>
      <c r="N117" s="296"/>
      <c r="O117" s="296"/>
      <c r="P117" s="296"/>
      <c r="Q117" s="296"/>
      <c r="R117" s="296"/>
      <c r="S117" s="296"/>
      <c r="T117" s="296"/>
      <c r="U117" s="296"/>
      <c r="V117" s="296"/>
      <c r="W117" s="296"/>
    </row>
    <row r="118" spans="1:23" ht="13.5" thickBot="1" x14ac:dyDescent="0.25">
      <c r="A118" s="90"/>
      <c r="B118" s="90"/>
      <c r="C118" s="90"/>
      <c r="D118" s="90"/>
      <c r="E118" s="115"/>
      <c r="F118" s="90"/>
      <c r="G118" s="96"/>
      <c r="H118" s="96"/>
      <c r="I118" s="96"/>
      <c r="J118" s="90"/>
      <c r="K118" s="94"/>
      <c r="L118" s="95"/>
      <c r="M118" s="95"/>
      <c r="N118" s="94"/>
      <c r="O118" s="90"/>
      <c r="P118" s="90"/>
      <c r="Q118" s="97"/>
      <c r="R118" s="90"/>
      <c r="S118" s="90"/>
      <c r="T118" s="90"/>
      <c r="U118" s="90"/>
      <c r="V118" s="90"/>
      <c r="W118" s="90"/>
    </row>
    <row r="119" spans="1:23" ht="16.5" thickBot="1" x14ac:dyDescent="0.25">
      <c r="C119" s="30" t="s">
        <v>122</v>
      </c>
      <c r="D119" s="31"/>
      <c r="E119" s="31"/>
      <c r="F119" s="31"/>
      <c r="G119" s="31"/>
      <c r="H119" s="31"/>
      <c r="I119" s="31"/>
      <c r="J119" s="31"/>
      <c r="K119" s="32"/>
    </row>
    <row r="120" spans="1:23" ht="16.5" thickBot="1" x14ac:dyDescent="0.25">
      <c r="C120" s="247"/>
      <c r="D120" s="247"/>
      <c r="E120" s="247"/>
      <c r="F120" s="247"/>
      <c r="G120" s="247"/>
      <c r="H120" s="247"/>
      <c r="I120" s="247"/>
      <c r="J120" s="247"/>
      <c r="K120" s="247"/>
    </row>
    <row r="121" spans="1:23" ht="18.75" thickBot="1" x14ac:dyDescent="0.3">
      <c r="C121" s="617" t="str">
        <f>+CONCATENATE(+IF(G38&gt;0,"Penalización ","Beneficio ")," por Fecha Ingreso U$S/MW mes")</f>
        <v>Penalización  por Fecha Ingreso U$S/MW mes</v>
      </c>
      <c r="D121" s="618"/>
      <c r="E121" s="299">
        <f>+IF(G5&gt;0,I121*G5,I122*G5)</f>
        <v>240</v>
      </c>
      <c r="F121" s="236" t="s">
        <v>112</v>
      </c>
      <c r="G121" s="19"/>
      <c r="H121" s="12" t="s">
        <v>113</v>
      </c>
      <c r="I121" s="326">
        <f>+'Parámetros Globales'!H9</f>
        <v>240</v>
      </c>
      <c r="J121" s="169" t="s">
        <v>163</v>
      </c>
      <c r="K121" s="19"/>
    </row>
    <row r="122" spans="1:23" ht="17.25" customHeight="1" thickBot="1" x14ac:dyDescent="0.25">
      <c r="C122" s="19"/>
      <c r="G122" s="19"/>
      <c r="H122" s="325" t="s">
        <v>114</v>
      </c>
      <c r="I122" s="327">
        <f>+'Parámetros Globales'!H10</f>
        <v>120</v>
      </c>
      <c r="J122" s="235" t="s">
        <v>163</v>
      </c>
      <c r="K122" s="19"/>
    </row>
    <row r="123" spans="1:23" ht="15" customHeight="1" thickBot="1" x14ac:dyDescent="0.25">
      <c r="A123" s="90"/>
      <c r="B123" s="90"/>
      <c r="C123" s="90"/>
      <c r="D123" s="90"/>
      <c r="E123" s="115"/>
      <c r="F123" s="90"/>
      <c r="G123" s="96"/>
      <c r="H123" s="96"/>
      <c r="I123" s="96"/>
      <c r="J123" s="90"/>
      <c r="K123" s="90"/>
      <c r="L123" s="90"/>
      <c r="M123" s="90"/>
      <c r="N123" s="90"/>
      <c r="O123" s="90"/>
      <c r="P123" s="90"/>
      <c r="Q123" s="90"/>
      <c r="R123" s="90"/>
      <c r="S123" s="90"/>
      <c r="T123" s="90"/>
      <c r="U123" s="90"/>
      <c r="V123" s="90"/>
      <c r="W123" s="90"/>
    </row>
    <row r="124" spans="1:23" ht="42.75" thickBot="1" x14ac:dyDescent="0.3">
      <c r="A124" s="98"/>
      <c r="B124" s="98"/>
      <c r="C124" s="136" t="s">
        <v>186</v>
      </c>
      <c r="D124" s="136" t="s">
        <v>111</v>
      </c>
      <c r="E124" s="136" t="str">
        <f>+C121</f>
        <v>Penalización  por Fecha Ingreso U$S/MW mes</v>
      </c>
      <c r="F124" s="136" t="s">
        <v>199</v>
      </c>
      <c r="G124" s="87" t="s">
        <v>108</v>
      </c>
      <c r="H124" s="328" t="s">
        <v>216</v>
      </c>
      <c r="I124" s="328" t="s">
        <v>217</v>
      </c>
      <c r="J124" s="328" t="s">
        <v>218</v>
      </c>
      <c r="N124" s="10"/>
      <c r="R124" s="17"/>
    </row>
    <row r="125" spans="1:23" ht="13.5" thickBot="1" x14ac:dyDescent="0.25">
      <c r="A125" s="248" t="s">
        <v>94</v>
      </c>
      <c r="B125" s="249" t="str">
        <f>+$E$19</f>
        <v>Base</v>
      </c>
      <c r="C125" s="124">
        <f>+$E$9</f>
        <v>100</v>
      </c>
      <c r="D125" s="103">
        <f t="shared" ref="D125:D136" si="65">+$E$13</f>
        <v>15000</v>
      </c>
      <c r="E125" s="104">
        <f>+E121</f>
        <v>240</v>
      </c>
      <c r="F125" s="104">
        <f>+D125+E125</f>
        <v>15240</v>
      </c>
      <c r="G125" s="92">
        <f>+$K$19</f>
        <v>0.85</v>
      </c>
      <c r="H125" s="240">
        <f>+F125*C125*(G125)</f>
        <v>1295400</v>
      </c>
      <c r="I125" s="240">
        <f>+F125*C125*((1-G125)*0.5)</f>
        <v>114300.00000000001</v>
      </c>
      <c r="J125" s="240">
        <f>(+H125+I125)*M81</f>
        <v>1409700</v>
      </c>
    </row>
    <row r="126" spans="1:23" ht="13.5" thickBot="1" x14ac:dyDescent="0.25">
      <c r="A126" s="250" t="s">
        <v>95</v>
      </c>
      <c r="B126" s="251" t="str">
        <f>+B125</f>
        <v>Base</v>
      </c>
      <c r="C126" s="124">
        <f>+$E$9</f>
        <v>100</v>
      </c>
      <c r="D126" s="88">
        <f t="shared" si="65"/>
        <v>15000</v>
      </c>
      <c r="E126" s="88">
        <f>+E125</f>
        <v>240</v>
      </c>
      <c r="F126" s="88">
        <f>+F125</f>
        <v>15240</v>
      </c>
      <c r="G126" s="92">
        <f t="shared" ref="G126:G128" si="66">+$K$19</f>
        <v>0.85</v>
      </c>
      <c r="H126" s="240">
        <f t="shared" ref="H126:H136" si="67">+F126*C126*(G126)</f>
        <v>1295400</v>
      </c>
      <c r="I126" s="240">
        <f t="shared" ref="I126:I136" si="68">+F126*C126*((1-G126)*0.5)</f>
        <v>114300.00000000001</v>
      </c>
      <c r="J126" s="240">
        <f t="shared" ref="J126:J136" si="69">(+H126+I126)*M82</f>
        <v>1409700</v>
      </c>
    </row>
    <row r="127" spans="1:23" ht="13.5" thickBot="1" x14ac:dyDescent="0.25">
      <c r="A127" s="250" t="s">
        <v>96</v>
      </c>
      <c r="B127" s="251" t="str">
        <f t="shared" ref="B127:B128" si="70">+B126</f>
        <v>Base</v>
      </c>
      <c r="C127" s="124">
        <f>+$E$9</f>
        <v>100</v>
      </c>
      <c r="D127" s="88">
        <f t="shared" si="65"/>
        <v>15000</v>
      </c>
      <c r="E127" s="88">
        <f t="shared" ref="E127:F136" si="71">+E126</f>
        <v>240</v>
      </c>
      <c r="F127" s="88">
        <f t="shared" si="71"/>
        <v>15240</v>
      </c>
      <c r="G127" s="92">
        <f t="shared" si="66"/>
        <v>0.85</v>
      </c>
      <c r="H127" s="240">
        <f t="shared" si="67"/>
        <v>1295400</v>
      </c>
      <c r="I127" s="240">
        <f t="shared" si="68"/>
        <v>114300.00000000001</v>
      </c>
      <c r="J127" s="240">
        <f t="shared" si="69"/>
        <v>1409700</v>
      </c>
    </row>
    <row r="128" spans="1:23" ht="13.5" thickBot="1" x14ac:dyDescent="0.25">
      <c r="A128" s="258" t="s">
        <v>97</v>
      </c>
      <c r="B128" s="259" t="str">
        <f t="shared" si="70"/>
        <v>Base</v>
      </c>
      <c r="C128" s="279">
        <f>+$E$9</f>
        <v>100</v>
      </c>
      <c r="D128" s="136">
        <f t="shared" si="65"/>
        <v>15000</v>
      </c>
      <c r="E128" s="136">
        <f t="shared" si="71"/>
        <v>240</v>
      </c>
      <c r="F128" s="136">
        <f t="shared" si="71"/>
        <v>15240</v>
      </c>
      <c r="G128" s="92">
        <f t="shared" si="66"/>
        <v>0.85</v>
      </c>
      <c r="H128" s="240">
        <f t="shared" si="67"/>
        <v>1295400</v>
      </c>
      <c r="I128" s="240">
        <f t="shared" si="68"/>
        <v>114300.00000000001</v>
      </c>
      <c r="J128" s="240">
        <f t="shared" si="69"/>
        <v>1409700</v>
      </c>
    </row>
    <row r="129" spans="1:10" ht="13.5" thickBot="1" x14ac:dyDescent="0.25">
      <c r="A129" s="266" t="s">
        <v>98</v>
      </c>
      <c r="B129" s="267" t="str">
        <f>+$E$20</f>
        <v>Alternativo</v>
      </c>
      <c r="C129" s="244">
        <f>+$E$10</f>
        <v>110</v>
      </c>
      <c r="D129" s="243">
        <f t="shared" si="65"/>
        <v>15000</v>
      </c>
      <c r="E129" s="243">
        <f t="shared" si="71"/>
        <v>240</v>
      </c>
      <c r="F129" s="243">
        <f t="shared" si="71"/>
        <v>15240</v>
      </c>
      <c r="G129" s="348">
        <f>+$K$20</f>
        <v>0.9</v>
      </c>
      <c r="H129" s="240">
        <f t="shared" si="67"/>
        <v>1508760</v>
      </c>
      <c r="I129" s="240">
        <f t="shared" si="68"/>
        <v>83819.999999999985</v>
      </c>
      <c r="J129" s="240">
        <f t="shared" si="69"/>
        <v>1592580</v>
      </c>
    </row>
    <row r="130" spans="1:10" ht="13.5" thickBot="1" x14ac:dyDescent="0.25">
      <c r="A130" s="254" t="s">
        <v>99</v>
      </c>
      <c r="B130" s="255" t="str">
        <f>+B129</f>
        <v>Alternativo</v>
      </c>
      <c r="C130" s="244">
        <f>+$E$10</f>
        <v>110</v>
      </c>
      <c r="D130" s="243">
        <f t="shared" si="65"/>
        <v>15000</v>
      </c>
      <c r="E130" s="243">
        <f t="shared" si="71"/>
        <v>240</v>
      </c>
      <c r="F130" s="243">
        <f t="shared" si="71"/>
        <v>15240</v>
      </c>
      <c r="G130" s="348">
        <f t="shared" ref="G130:G132" si="72">+$K$20</f>
        <v>0.9</v>
      </c>
      <c r="H130" s="240">
        <f t="shared" si="67"/>
        <v>1508760</v>
      </c>
      <c r="I130" s="240">
        <f t="shared" si="68"/>
        <v>83819.999999999985</v>
      </c>
      <c r="J130" s="240">
        <f t="shared" si="69"/>
        <v>1592580</v>
      </c>
    </row>
    <row r="131" spans="1:10" ht="13.5" thickBot="1" x14ac:dyDescent="0.25">
      <c r="A131" s="254" t="s">
        <v>100</v>
      </c>
      <c r="B131" s="255" t="str">
        <f t="shared" ref="B131:B132" si="73">+B130</f>
        <v>Alternativo</v>
      </c>
      <c r="C131" s="244">
        <f>+$E$10</f>
        <v>110</v>
      </c>
      <c r="D131" s="243">
        <f t="shared" si="65"/>
        <v>15000</v>
      </c>
      <c r="E131" s="243">
        <f t="shared" si="71"/>
        <v>240</v>
      </c>
      <c r="F131" s="243">
        <f t="shared" si="71"/>
        <v>15240</v>
      </c>
      <c r="G131" s="348">
        <f t="shared" si="72"/>
        <v>0.9</v>
      </c>
      <c r="H131" s="240">
        <f t="shared" si="67"/>
        <v>1508760</v>
      </c>
      <c r="I131" s="240">
        <f t="shared" si="68"/>
        <v>83819.999999999985</v>
      </c>
      <c r="J131" s="240">
        <f t="shared" si="69"/>
        <v>1592580</v>
      </c>
    </row>
    <row r="132" spans="1:10" ht="13.5" thickBot="1" x14ac:dyDescent="0.25">
      <c r="A132" s="272" t="s">
        <v>101</v>
      </c>
      <c r="B132" s="273" t="str">
        <f t="shared" si="73"/>
        <v>Alternativo</v>
      </c>
      <c r="C132" s="244">
        <f>+$E$10</f>
        <v>110</v>
      </c>
      <c r="D132" s="243">
        <f t="shared" si="65"/>
        <v>15000</v>
      </c>
      <c r="E132" s="243">
        <f t="shared" si="71"/>
        <v>240</v>
      </c>
      <c r="F132" s="243">
        <f t="shared" si="71"/>
        <v>15240</v>
      </c>
      <c r="G132" s="348">
        <f t="shared" si="72"/>
        <v>0.9</v>
      </c>
      <c r="H132" s="240">
        <f t="shared" si="67"/>
        <v>1508760</v>
      </c>
      <c r="I132" s="240">
        <f t="shared" si="68"/>
        <v>83819.999999999985</v>
      </c>
      <c r="J132" s="240">
        <f t="shared" si="69"/>
        <v>1592580</v>
      </c>
    </row>
    <row r="133" spans="1:10" ht="13.5" thickBot="1" x14ac:dyDescent="0.25">
      <c r="A133" s="264" t="s">
        <v>102</v>
      </c>
      <c r="B133" s="265" t="str">
        <f>+B128</f>
        <v>Base</v>
      </c>
      <c r="C133" s="280">
        <f>+$E$9</f>
        <v>100</v>
      </c>
      <c r="D133" s="276">
        <f t="shared" si="65"/>
        <v>15000</v>
      </c>
      <c r="E133" s="276">
        <f t="shared" si="71"/>
        <v>240</v>
      </c>
      <c r="F133" s="276">
        <f t="shared" si="71"/>
        <v>15240</v>
      </c>
      <c r="G133" s="92">
        <f>+$K$21</f>
        <v>0.85</v>
      </c>
      <c r="H133" s="240">
        <f t="shared" si="67"/>
        <v>1295400</v>
      </c>
      <c r="I133" s="240">
        <f t="shared" si="68"/>
        <v>114300.00000000001</v>
      </c>
      <c r="J133" s="240">
        <f t="shared" si="69"/>
        <v>1409700</v>
      </c>
    </row>
    <row r="134" spans="1:10" ht="13.5" thickBot="1" x14ac:dyDescent="0.25">
      <c r="A134" s="250" t="s">
        <v>103</v>
      </c>
      <c r="B134" s="251" t="str">
        <f>+B133</f>
        <v>Base</v>
      </c>
      <c r="C134" s="124">
        <f>+$E$9</f>
        <v>100</v>
      </c>
      <c r="D134" s="88">
        <f t="shared" si="65"/>
        <v>15000</v>
      </c>
      <c r="E134" s="88">
        <f t="shared" si="71"/>
        <v>240</v>
      </c>
      <c r="F134" s="88">
        <f t="shared" si="71"/>
        <v>15240</v>
      </c>
      <c r="G134" s="92">
        <f t="shared" ref="G134:G136" si="74">+$K$21</f>
        <v>0.85</v>
      </c>
      <c r="H134" s="240">
        <f t="shared" si="67"/>
        <v>1295400</v>
      </c>
      <c r="I134" s="240">
        <f t="shared" si="68"/>
        <v>114300.00000000001</v>
      </c>
      <c r="J134" s="240">
        <f t="shared" si="69"/>
        <v>1409700</v>
      </c>
    </row>
    <row r="135" spans="1:10" ht="13.5" thickBot="1" x14ac:dyDescent="0.25">
      <c r="A135" s="250" t="s">
        <v>104</v>
      </c>
      <c r="B135" s="251" t="str">
        <f t="shared" ref="B135:B136" si="75">+B134</f>
        <v>Base</v>
      </c>
      <c r="C135" s="124">
        <f>+$E$9</f>
        <v>100</v>
      </c>
      <c r="D135" s="88">
        <f t="shared" si="65"/>
        <v>15000</v>
      </c>
      <c r="E135" s="88">
        <f t="shared" si="71"/>
        <v>240</v>
      </c>
      <c r="F135" s="88">
        <f t="shared" si="71"/>
        <v>15240</v>
      </c>
      <c r="G135" s="92">
        <f t="shared" si="74"/>
        <v>0.85</v>
      </c>
      <c r="H135" s="240">
        <f t="shared" si="67"/>
        <v>1295400</v>
      </c>
      <c r="I135" s="240">
        <f t="shared" si="68"/>
        <v>114300.00000000001</v>
      </c>
      <c r="J135" s="240">
        <f t="shared" si="69"/>
        <v>1409700</v>
      </c>
    </row>
    <row r="136" spans="1:10" ht="13.5" thickBot="1" x14ac:dyDescent="0.25">
      <c r="A136" s="252" t="s">
        <v>105</v>
      </c>
      <c r="B136" s="253" t="str">
        <f t="shared" si="75"/>
        <v>Base</v>
      </c>
      <c r="C136" s="124">
        <f>+$E$9</f>
        <v>100</v>
      </c>
      <c r="D136" s="88">
        <f t="shared" si="65"/>
        <v>15000</v>
      </c>
      <c r="E136" s="88">
        <f t="shared" si="71"/>
        <v>240</v>
      </c>
      <c r="F136" s="88">
        <f t="shared" si="71"/>
        <v>15240</v>
      </c>
      <c r="G136" s="92">
        <f t="shared" si="74"/>
        <v>0.85</v>
      </c>
      <c r="H136" s="240">
        <f t="shared" si="67"/>
        <v>1295400</v>
      </c>
      <c r="I136" s="240">
        <f t="shared" si="68"/>
        <v>114300.00000000001</v>
      </c>
      <c r="J136" s="240">
        <f t="shared" si="69"/>
        <v>1409700</v>
      </c>
    </row>
    <row r="137" spans="1:10" ht="13.5" thickBot="1" x14ac:dyDescent="0.25">
      <c r="C137" s="99"/>
      <c r="D137" s="99"/>
      <c r="E137" s="99"/>
      <c r="F137" s="105"/>
      <c r="I137" s="4"/>
      <c r="J137" s="105"/>
    </row>
    <row r="138" spans="1:10" s="19" customFormat="1" ht="18.75" customHeight="1" thickBot="1" x14ac:dyDescent="0.3">
      <c r="B138" s="283" t="s">
        <v>107</v>
      </c>
      <c r="C138" s="284">
        <f>+AVERAGE(C125:C136)</f>
        <v>103.33333333333333</v>
      </c>
      <c r="E138" s="285"/>
      <c r="G138" s="330" t="s">
        <v>164</v>
      </c>
      <c r="H138" s="332">
        <f t="shared" ref="H138:I138" si="76">+SUM(H125:H136)</f>
        <v>16398240</v>
      </c>
      <c r="I138" s="332">
        <f t="shared" si="76"/>
        <v>1249680</v>
      </c>
      <c r="J138" s="332">
        <f>+SUM(J125:J136)</f>
        <v>17647920</v>
      </c>
    </row>
    <row r="139" spans="1:10" ht="13.5" thickBot="1" x14ac:dyDescent="0.25">
      <c r="E139" s="99"/>
      <c r="F139" s="99"/>
      <c r="G139" s="99"/>
      <c r="H139" s="4"/>
      <c r="I139" s="99"/>
      <c r="J139" s="99"/>
    </row>
    <row r="140" spans="1:10" ht="40.5" customHeight="1" thickBot="1" x14ac:dyDescent="0.25">
      <c r="C140" s="331"/>
      <c r="D140" s="619" t="s">
        <v>124</v>
      </c>
      <c r="E140" s="620"/>
      <c r="F140" s="282">
        <f>+H112/J138</f>
        <v>1.3063771185839419</v>
      </c>
      <c r="G140" s="99"/>
      <c r="H140" s="113"/>
      <c r="I140" s="113"/>
      <c r="J140" s="114"/>
    </row>
  </sheetData>
  <mergeCells count="8">
    <mergeCell ref="D140:E140"/>
    <mergeCell ref="I17:J17"/>
    <mergeCell ref="K17:K18"/>
    <mergeCell ref="G17:H17"/>
    <mergeCell ref="E18:F18"/>
    <mergeCell ref="C28:D28"/>
    <mergeCell ref="C121:D121"/>
    <mergeCell ref="H40:I40"/>
  </mergeCell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8">
        <x14:dataValidation type="list" allowBlank="1" showInputMessage="1" showErrorMessage="1">
          <x14:formula1>
            <xm:f>Aux!$I$3:$I$4</xm:f>
          </x14:formula1>
          <xm:sqref>D29:D31 K4 K6:K7</xm:sqref>
        </x14:dataValidation>
        <x14:dataValidation type="list" allowBlank="1" showInputMessage="1" showErrorMessage="1">
          <x14:formula1>
            <xm:f>'PDI Aux'!$B$5:$B$128</xm:f>
          </x14:formula1>
          <xm:sqref>E14</xm:sqref>
        </x14:dataValidation>
        <x14:dataValidation type="list" allowBlank="1" showInputMessage="1" showErrorMessage="1">
          <x14:formula1>
            <xm:f>Aux!$B$3:$B$4</xm:f>
          </x14:formula1>
          <xm:sqref>E19:E21</xm:sqref>
        </x14:dataValidation>
        <x14:dataValidation type="list" allowBlank="1" showInputMessage="1" showErrorMessage="1">
          <x14:formula1>
            <xm:f>Aux!$D$3:$D$6</xm:f>
          </x14:formula1>
          <xm:sqref>F19:F21 M21</xm:sqref>
        </x14:dataValidation>
        <x14:dataValidation type="list" allowBlank="1" showInputMessage="1" showErrorMessage="1">
          <x14:formula1>
            <xm:f>IF($F$20="Gas",Aux!$F$3:$F$4,IF($F$20="Gas Oil",Aux!$F$5:$F$6,Aux!$F$7:$F$8))</xm:f>
          </x14:formula1>
          <xm:sqref>E34</xm:sqref>
        </x14:dataValidation>
        <x14:dataValidation type="list" allowBlank="1" showInputMessage="1" showErrorMessage="1">
          <x14:formula1>
            <xm:f>IF($F$19="Gas",Aux!$F$3:$F$4,IF($F$19="Gas Oil",Aux!$F$5:$F$6,Aux!$F$7:$F$8))</xm:f>
          </x14:formula1>
          <xm:sqref>E33</xm:sqref>
        </x14:dataValidation>
        <x14:dataValidation type="list" allowBlank="1" showInputMessage="1" showErrorMessage="1">
          <x14:formula1>
            <xm:f>Aux!$F$13:$F$25</xm:f>
          </x14:formula1>
          <xm:sqref>F5</xm:sqref>
        </x14:dataValidation>
        <x14:dataValidation type="list" allowBlank="1" showInputMessage="1" showErrorMessage="1">
          <x14:formula1>
            <xm:f>Aux!$J$13:$J$53</xm:f>
          </x14:formula1>
          <xm:sqref>K5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AA110"/>
  <sheetViews>
    <sheetView zoomScale="70" zoomScaleNormal="70" workbookViewId="0">
      <pane xSplit="5" ySplit="4" topLeftCell="P5" activePane="bottomRight" state="frozen"/>
      <selection pane="topRight" activeCell="F1" sqref="F1"/>
      <selection pane="bottomLeft" activeCell="A5" sqref="A5"/>
      <selection pane="bottomRight" activeCell="Y49" sqref="Y49"/>
    </sheetView>
  </sheetViews>
  <sheetFormatPr baseColWidth="10" defaultRowHeight="15" x14ac:dyDescent="0.25"/>
  <cols>
    <col min="3" max="3" width="68" customWidth="1"/>
    <col min="7" max="7" width="28.85546875" customWidth="1"/>
    <col min="14" max="14" width="17.140625" customWidth="1"/>
    <col min="17" max="17" width="9" customWidth="1"/>
    <col min="19" max="19" width="10" bestFit="1" customWidth="1"/>
    <col min="20" max="20" width="13.85546875" customWidth="1"/>
    <col min="21" max="21" width="9.7109375" bestFit="1" customWidth="1"/>
  </cols>
  <sheetData>
    <row r="1" spans="1:22" ht="15.75" thickBot="1" x14ac:dyDescent="0.3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  <c r="V1">
        <v>21</v>
      </c>
    </row>
    <row r="2" spans="1:22" ht="22.5" customHeight="1" thickBot="1" x14ac:dyDescent="0.3">
      <c r="A2" s="649" t="s">
        <v>2</v>
      </c>
      <c r="B2" s="652" t="s">
        <v>3</v>
      </c>
      <c r="C2" s="655" t="s">
        <v>219</v>
      </c>
      <c r="D2" s="655"/>
      <c r="E2" s="655" t="s">
        <v>4</v>
      </c>
      <c r="F2" s="655" t="s">
        <v>5</v>
      </c>
      <c r="G2" s="660" t="s">
        <v>220</v>
      </c>
      <c r="H2" s="662" t="s">
        <v>6</v>
      </c>
      <c r="I2" s="663"/>
      <c r="J2" s="663"/>
      <c r="K2" s="663"/>
      <c r="L2" s="663"/>
      <c r="M2" s="663"/>
      <c r="N2" s="664"/>
      <c r="O2" s="2"/>
      <c r="R2" t="s">
        <v>283</v>
      </c>
    </row>
    <row r="3" spans="1:22" ht="21" customHeight="1" thickBot="1" x14ac:dyDescent="0.3">
      <c r="A3" s="650"/>
      <c r="B3" s="653"/>
      <c r="C3" s="656"/>
      <c r="D3" s="656"/>
      <c r="E3" s="656"/>
      <c r="F3" s="656"/>
      <c r="G3" s="661"/>
      <c r="H3" s="656" t="s">
        <v>7</v>
      </c>
      <c r="I3" s="665" t="s">
        <v>8</v>
      </c>
      <c r="J3" s="666"/>
      <c r="K3" s="667"/>
      <c r="L3" s="658" t="s">
        <v>2</v>
      </c>
      <c r="M3" s="671" t="s">
        <v>9</v>
      </c>
      <c r="N3" s="672"/>
      <c r="O3" s="2"/>
      <c r="P3" s="3" t="s">
        <v>288</v>
      </c>
      <c r="Q3" s="1"/>
      <c r="R3" s="3" t="s">
        <v>289</v>
      </c>
      <c r="S3" s="1"/>
      <c r="T3" s="3" t="s">
        <v>290</v>
      </c>
      <c r="U3" s="1"/>
    </row>
    <row r="4" spans="1:22" ht="21" customHeight="1" thickBot="1" x14ac:dyDescent="0.3">
      <c r="A4" s="651"/>
      <c r="B4" s="654"/>
      <c r="C4" s="487" t="s">
        <v>10</v>
      </c>
      <c r="D4" s="487" t="s">
        <v>11</v>
      </c>
      <c r="E4" s="657"/>
      <c r="F4" s="657"/>
      <c r="G4" s="661"/>
      <c r="H4" s="657"/>
      <c r="I4" s="668"/>
      <c r="J4" s="669"/>
      <c r="K4" s="670"/>
      <c r="L4" s="659"/>
      <c r="M4" s="673"/>
      <c r="N4" s="674"/>
      <c r="O4" s="2"/>
      <c r="P4" s="38" t="s">
        <v>0</v>
      </c>
      <c r="Q4" s="38" t="s">
        <v>84</v>
      </c>
      <c r="R4" s="38" t="s">
        <v>126</v>
      </c>
      <c r="S4" s="38" t="s">
        <v>127</v>
      </c>
      <c r="T4" s="38" t="s">
        <v>128</v>
      </c>
      <c r="U4" s="38" t="s">
        <v>129</v>
      </c>
      <c r="V4" s="116" t="s">
        <v>134</v>
      </c>
    </row>
    <row r="5" spans="1:22" ht="16.5" customHeight="1" thickBot="1" x14ac:dyDescent="0.3">
      <c r="A5" s="685" t="s">
        <v>12</v>
      </c>
      <c r="B5" s="537">
        <v>1</v>
      </c>
      <c r="C5" s="559" t="s">
        <v>13</v>
      </c>
      <c r="D5" s="560" t="s">
        <v>14</v>
      </c>
      <c r="E5" s="560">
        <v>132</v>
      </c>
      <c r="F5" s="561">
        <v>1.059625</v>
      </c>
      <c r="G5" s="562"/>
      <c r="H5" s="563">
        <v>70</v>
      </c>
      <c r="I5" s="688" t="s">
        <v>221</v>
      </c>
      <c r="J5" s="688"/>
      <c r="K5" s="688"/>
      <c r="L5" s="675" t="s">
        <v>15</v>
      </c>
      <c r="M5" s="675" t="s">
        <v>309</v>
      </c>
      <c r="N5" s="676"/>
      <c r="O5" s="2"/>
      <c r="P5" s="412">
        <v>0.47799999999999998</v>
      </c>
      <c r="Q5" s="412">
        <v>0.442</v>
      </c>
      <c r="R5" s="449">
        <v>36</v>
      </c>
      <c r="S5" s="414"/>
      <c r="T5" s="415">
        <v>39</v>
      </c>
      <c r="U5" s="515"/>
      <c r="V5" s="493">
        <v>0</v>
      </c>
    </row>
    <row r="6" spans="1:22" ht="15.75" customHeight="1" thickBot="1" x14ac:dyDescent="0.3">
      <c r="A6" s="686"/>
      <c r="B6" s="538">
        <v>2</v>
      </c>
      <c r="C6" s="564" t="s">
        <v>16</v>
      </c>
      <c r="D6" s="550" t="s">
        <v>14</v>
      </c>
      <c r="E6" s="550">
        <v>132</v>
      </c>
      <c r="F6" s="565">
        <v>1.1227450000000001</v>
      </c>
      <c r="G6" s="549" t="s">
        <v>222</v>
      </c>
      <c r="H6" s="566">
        <v>200</v>
      </c>
      <c r="I6" s="689"/>
      <c r="J6" s="689"/>
      <c r="K6" s="689"/>
      <c r="L6" s="630"/>
      <c r="M6" s="677"/>
      <c r="N6" s="678"/>
      <c r="O6" s="2"/>
      <c r="P6" s="412">
        <v>0.47799999999999998</v>
      </c>
      <c r="Q6" s="412">
        <v>0.442</v>
      </c>
      <c r="R6" s="451">
        <v>36</v>
      </c>
      <c r="S6" s="420"/>
      <c r="T6" s="421">
        <v>39</v>
      </c>
      <c r="U6" s="425"/>
      <c r="V6" s="494">
        <v>0</v>
      </c>
    </row>
    <row r="7" spans="1:22" ht="15.75" thickBot="1" x14ac:dyDescent="0.3">
      <c r="A7" s="686"/>
      <c r="B7" s="539">
        <v>3</v>
      </c>
      <c r="C7" s="564" t="s">
        <v>17</v>
      </c>
      <c r="D7" s="550" t="s">
        <v>14</v>
      </c>
      <c r="E7" s="550">
        <v>132</v>
      </c>
      <c r="F7" s="565">
        <v>1.12896</v>
      </c>
      <c r="G7" s="567" t="s">
        <v>223</v>
      </c>
      <c r="H7" s="566">
        <v>115</v>
      </c>
      <c r="I7" s="689"/>
      <c r="J7" s="689"/>
      <c r="K7" s="689"/>
      <c r="L7" s="630"/>
      <c r="M7" s="677"/>
      <c r="N7" s="678"/>
      <c r="O7" s="2"/>
      <c r="P7" s="412">
        <v>0.47799999999999998</v>
      </c>
      <c r="Q7" s="412">
        <v>0.442</v>
      </c>
      <c r="R7" s="451">
        <v>36</v>
      </c>
      <c r="S7" s="420"/>
      <c r="T7" s="421">
        <v>39</v>
      </c>
      <c r="U7" s="425"/>
      <c r="V7" s="494">
        <v>0</v>
      </c>
    </row>
    <row r="8" spans="1:22" ht="15.75" thickBot="1" x14ac:dyDescent="0.3">
      <c r="A8" s="686"/>
      <c r="B8" s="539">
        <v>4</v>
      </c>
      <c r="C8" s="564" t="s">
        <v>224</v>
      </c>
      <c r="D8" s="550" t="s">
        <v>14</v>
      </c>
      <c r="E8" s="550">
        <v>132</v>
      </c>
      <c r="F8" s="565">
        <v>1.0683</v>
      </c>
      <c r="G8" s="567"/>
      <c r="H8" s="566">
        <v>150</v>
      </c>
      <c r="I8" s="689"/>
      <c r="J8" s="689"/>
      <c r="K8" s="689"/>
      <c r="L8" s="630"/>
      <c r="M8" s="677"/>
      <c r="N8" s="678"/>
      <c r="O8" s="2"/>
      <c r="P8" s="412">
        <v>0.47799999999999998</v>
      </c>
      <c r="Q8" s="412">
        <v>0.442</v>
      </c>
      <c r="R8" s="451">
        <v>26</v>
      </c>
      <c r="S8" s="420"/>
      <c r="T8" s="421">
        <v>19</v>
      </c>
      <c r="U8" s="425"/>
      <c r="V8" s="494">
        <v>0</v>
      </c>
    </row>
    <row r="9" spans="1:22" ht="15.75" thickBot="1" x14ac:dyDescent="0.3">
      <c r="A9" s="686"/>
      <c r="B9" s="539">
        <v>5</v>
      </c>
      <c r="C9" s="564" t="s">
        <v>225</v>
      </c>
      <c r="D9" s="550" t="s">
        <v>14</v>
      </c>
      <c r="E9" s="550">
        <v>132</v>
      </c>
      <c r="F9" s="565">
        <v>1.0479000000000001</v>
      </c>
      <c r="G9" s="567"/>
      <c r="H9" s="566">
        <v>150</v>
      </c>
      <c r="I9" s="689"/>
      <c r="J9" s="689"/>
      <c r="K9" s="689"/>
      <c r="L9" s="630"/>
      <c r="M9" s="677"/>
      <c r="N9" s="678"/>
      <c r="O9" s="2"/>
      <c r="P9" s="412">
        <v>0.47799999999999998</v>
      </c>
      <c r="Q9" s="412">
        <v>0.442</v>
      </c>
      <c r="R9" s="451">
        <v>36</v>
      </c>
      <c r="S9" s="420"/>
      <c r="T9" s="421">
        <v>39</v>
      </c>
      <c r="U9" s="425"/>
      <c r="V9" s="494">
        <v>0</v>
      </c>
    </row>
    <row r="10" spans="1:22" ht="15.75" thickBot="1" x14ac:dyDescent="0.3">
      <c r="A10" s="686"/>
      <c r="B10" s="539">
        <v>6</v>
      </c>
      <c r="C10" s="564" t="s">
        <v>18</v>
      </c>
      <c r="D10" s="550" t="s">
        <v>14</v>
      </c>
      <c r="E10" s="550">
        <v>132</v>
      </c>
      <c r="F10" s="565">
        <v>1.0289999999999999</v>
      </c>
      <c r="G10" s="567"/>
      <c r="H10" s="566">
        <v>300</v>
      </c>
      <c r="I10" s="689"/>
      <c r="J10" s="689"/>
      <c r="K10" s="689"/>
      <c r="L10" s="630"/>
      <c r="M10" s="677"/>
      <c r="N10" s="678"/>
      <c r="O10" s="2"/>
      <c r="P10" s="412">
        <v>0.47799999999999998</v>
      </c>
      <c r="Q10" s="412">
        <v>0.442</v>
      </c>
      <c r="R10" s="451">
        <v>36</v>
      </c>
      <c r="S10" s="420"/>
      <c r="T10" s="421">
        <v>39</v>
      </c>
      <c r="U10" s="425"/>
      <c r="V10" s="494">
        <v>0</v>
      </c>
    </row>
    <row r="11" spans="1:22" ht="16.5" customHeight="1" thickBot="1" x14ac:dyDescent="0.3">
      <c r="A11" s="687"/>
      <c r="B11" s="542">
        <v>10</v>
      </c>
      <c r="C11" s="568" t="s">
        <v>18</v>
      </c>
      <c r="D11" s="569" t="s">
        <v>14</v>
      </c>
      <c r="E11" s="569">
        <v>500</v>
      </c>
      <c r="F11" s="570">
        <v>1.0289200000000001</v>
      </c>
      <c r="G11" s="568"/>
      <c r="H11" s="569">
        <v>300</v>
      </c>
      <c r="I11" s="690"/>
      <c r="J11" s="690"/>
      <c r="K11" s="690"/>
      <c r="L11" s="631"/>
      <c r="M11" s="679"/>
      <c r="N11" s="680"/>
      <c r="O11" s="2"/>
      <c r="P11" s="412">
        <v>0.47799999999999998</v>
      </c>
      <c r="Q11" s="412">
        <v>0.442</v>
      </c>
      <c r="R11" s="495">
        <v>36</v>
      </c>
      <c r="S11" s="427"/>
      <c r="T11" s="430">
        <v>39</v>
      </c>
      <c r="U11" s="518"/>
      <c r="V11" s="496">
        <v>0</v>
      </c>
    </row>
    <row r="12" spans="1:22" ht="16.5" customHeight="1" thickBot="1" x14ac:dyDescent="0.3">
      <c r="A12" s="636" t="s">
        <v>19</v>
      </c>
      <c r="B12" s="543">
        <v>19</v>
      </c>
      <c r="C12" s="571" t="s">
        <v>284</v>
      </c>
      <c r="D12" s="572" t="s">
        <v>14</v>
      </c>
      <c r="E12" s="572">
        <v>33</v>
      </c>
      <c r="F12" s="573">
        <v>1.0531999999999999</v>
      </c>
      <c r="G12" s="574"/>
      <c r="H12" s="575">
        <v>0</v>
      </c>
      <c r="I12" s="639" t="s">
        <v>226</v>
      </c>
      <c r="J12" s="639"/>
      <c r="K12" s="639"/>
      <c r="L12" s="681" t="s">
        <v>21</v>
      </c>
      <c r="M12" s="681" t="s">
        <v>310</v>
      </c>
      <c r="N12" s="683"/>
      <c r="O12" s="2"/>
      <c r="P12" s="412">
        <v>0.105</v>
      </c>
      <c r="Q12" s="412">
        <v>8.4000000000000005E-2</v>
      </c>
      <c r="R12" s="488">
        <v>66</v>
      </c>
      <c r="S12" s="511"/>
      <c r="T12" s="512">
        <v>101</v>
      </c>
      <c r="U12" s="516"/>
      <c r="V12" s="517">
        <v>0</v>
      </c>
    </row>
    <row r="13" spans="1:22" ht="15.75" thickBot="1" x14ac:dyDescent="0.3">
      <c r="A13" s="637"/>
      <c r="B13" s="544">
        <v>20</v>
      </c>
      <c r="C13" s="564" t="s">
        <v>20</v>
      </c>
      <c r="D13" s="550" t="s">
        <v>14</v>
      </c>
      <c r="E13" s="550">
        <v>132</v>
      </c>
      <c r="F13" s="576">
        <v>1.06656</v>
      </c>
      <c r="G13" s="577"/>
      <c r="H13" s="550">
        <v>0</v>
      </c>
      <c r="I13" s="633"/>
      <c r="J13" s="633"/>
      <c r="K13" s="633"/>
      <c r="L13" s="682"/>
      <c r="M13" s="682"/>
      <c r="N13" s="684"/>
      <c r="O13" s="2"/>
      <c r="P13" s="412">
        <v>0.105</v>
      </c>
      <c r="Q13" s="412">
        <v>8.4000000000000005E-2</v>
      </c>
      <c r="R13" s="451">
        <v>66</v>
      </c>
      <c r="S13" s="420"/>
      <c r="T13" s="421">
        <v>101</v>
      </c>
      <c r="U13" s="425"/>
      <c r="V13" s="494">
        <v>0</v>
      </c>
    </row>
    <row r="14" spans="1:22" ht="15.75" thickBot="1" x14ac:dyDescent="0.3">
      <c r="A14" s="637"/>
      <c r="B14" s="544">
        <v>21</v>
      </c>
      <c r="C14" s="564" t="s">
        <v>22</v>
      </c>
      <c r="D14" s="550" t="s">
        <v>14</v>
      </c>
      <c r="E14" s="550">
        <v>132</v>
      </c>
      <c r="F14" s="576">
        <v>1.055175</v>
      </c>
      <c r="G14" s="577"/>
      <c r="H14" s="550">
        <v>0</v>
      </c>
      <c r="I14" s="633"/>
      <c r="J14" s="633"/>
      <c r="K14" s="633"/>
      <c r="L14" s="682"/>
      <c r="M14" s="682"/>
      <c r="N14" s="684"/>
      <c r="O14" s="2"/>
      <c r="P14" s="412">
        <v>0.105</v>
      </c>
      <c r="Q14" s="412">
        <v>8.4000000000000005E-2</v>
      </c>
      <c r="R14" s="451">
        <v>66</v>
      </c>
      <c r="S14" s="420"/>
      <c r="T14" s="421">
        <v>101</v>
      </c>
      <c r="U14" s="425"/>
      <c r="V14" s="494">
        <v>0</v>
      </c>
    </row>
    <row r="15" spans="1:22" ht="15.75" thickBot="1" x14ac:dyDescent="0.3">
      <c r="A15" s="637"/>
      <c r="B15" s="544">
        <v>22</v>
      </c>
      <c r="C15" s="564" t="s">
        <v>227</v>
      </c>
      <c r="D15" s="550" t="s">
        <v>14</v>
      </c>
      <c r="E15" s="550">
        <v>132</v>
      </c>
      <c r="F15" s="576">
        <v>1.1305000000000001</v>
      </c>
      <c r="G15" s="577"/>
      <c r="H15" s="550">
        <v>70</v>
      </c>
      <c r="I15" s="633"/>
      <c r="J15" s="633"/>
      <c r="K15" s="633"/>
      <c r="L15" s="682"/>
      <c r="M15" s="682"/>
      <c r="N15" s="684"/>
      <c r="O15" s="2"/>
      <c r="P15" s="412">
        <v>0.10299999999999999</v>
      </c>
      <c r="Q15" s="412">
        <v>8.2000000000000003E-2</v>
      </c>
      <c r="R15" s="451">
        <v>66</v>
      </c>
      <c r="S15" s="420"/>
      <c r="T15" s="421">
        <v>101</v>
      </c>
      <c r="U15" s="420"/>
      <c r="V15" s="494">
        <v>0</v>
      </c>
    </row>
    <row r="16" spans="1:22" ht="15.75" thickBot="1" x14ac:dyDescent="0.3">
      <c r="A16" s="637"/>
      <c r="B16" s="544">
        <v>23</v>
      </c>
      <c r="C16" s="564" t="s">
        <v>227</v>
      </c>
      <c r="D16" s="550" t="s">
        <v>14</v>
      </c>
      <c r="E16" s="550">
        <v>33</v>
      </c>
      <c r="F16" s="576">
        <v>1.1305000000000001</v>
      </c>
      <c r="G16" s="577"/>
      <c r="H16" s="550">
        <v>0</v>
      </c>
      <c r="I16" s="633"/>
      <c r="J16" s="633"/>
      <c r="K16" s="633"/>
      <c r="L16" s="682"/>
      <c r="M16" s="682"/>
      <c r="N16" s="684"/>
      <c r="O16" s="2"/>
      <c r="P16" s="412">
        <v>0.10299999999999999</v>
      </c>
      <c r="Q16" s="412">
        <v>8.2000000000000003E-2</v>
      </c>
      <c r="R16" s="451">
        <v>66</v>
      </c>
      <c r="S16" s="420"/>
      <c r="T16" s="421">
        <v>101</v>
      </c>
      <c r="U16" s="420"/>
      <c r="V16" s="494">
        <v>0</v>
      </c>
    </row>
    <row r="17" spans="1:25" ht="15.75" customHeight="1" thickBot="1" x14ac:dyDescent="0.3">
      <c r="A17" s="637"/>
      <c r="B17" s="544">
        <v>24</v>
      </c>
      <c r="C17" s="564" t="s">
        <v>228</v>
      </c>
      <c r="D17" s="550" t="s">
        <v>229</v>
      </c>
      <c r="E17" s="550">
        <v>132</v>
      </c>
      <c r="F17" s="576">
        <v>1.0645</v>
      </c>
      <c r="G17" s="577"/>
      <c r="H17" s="550">
        <v>36</v>
      </c>
      <c r="I17" s="633"/>
      <c r="J17" s="633"/>
      <c r="K17" s="633"/>
      <c r="L17" s="682"/>
      <c r="M17" s="682"/>
      <c r="N17" s="684"/>
      <c r="O17" s="2"/>
      <c r="P17" s="412">
        <v>0.10299999999999999</v>
      </c>
      <c r="Q17" s="412">
        <v>8.2000000000000003E-2</v>
      </c>
      <c r="R17" s="451">
        <v>66</v>
      </c>
      <c r="S17" s="420"/>
      <c r="T17" s="421">
        <v>101</v>
      </c>
      <c r="U17" s="420"/>
      <c r="V17" s="494">
        <v>0</v>
      </c>
    </row>
    <row r="18" spans="1:25" ht="15.75" thickBot="1" x14ac:dyDescent="0.3">
      <c r="A18" s="637"/>
      <c r="B18" s="544">
        <v>25</v>
      </c>
      <c r="C18" s="564" t="s">
        <v>228</v>
      </c>
      <c r="D18" s="550" t="s">
        <v>14</v>
      </c>
      <c r="E18" s="550">
        <v>33</v>
      </c>
      <c r="F18" s="576">
        <v>1.0645</v>
      </c>
      <c r="G18" s="577"/>
      <c r="H18" s="550">
        <v>0</v>
      </c>
      <c r="I18" s="633"/>
      <c r="J18" s="633"/>
      <c r="K18" s="633"/>
      <c r="L18" s="682"/>
      <c r="M18" s="682"/>
      <c r="N18" s="684"/>
      <c r="O18" s="2"/>
      <c r="P18" s="412">
        <v>0.10299999999999999</v>
      </c>
      <c r="Q18" s="412">
        <v>8.2000000000000003E-2</v>
      </c>
      <c r="R18" s="451">
        <v>66</v>
      </c>
      <c r="S18" s="420"/>
      <c r="T18" s="421">
        <v>101</v>
      </c>
      <c r="U18" s="420"/>
      <c r="V18" s="494">
        <v>0</v>
      </c>
    </row>
    <row r="19" spans="1:25" ht="15.75" thickBot="1" x14ac:dyDescent="0.3">
      <c r="A19" s="637"/>
      <c r="B19" s="544">
        <v>26</v>
      </c>
      <c r="C19" s="564" t="s">
        <v>230</v>
      </c>
      <c r="D19" s="550" t="s">
        <v>14</v>
      </c>
      <c r="E19" s="550">
        <v>66</v>
      </c>
      <c r="F19" s="576">
        <v>1.0543</v>
      </c>
      <c r="G19" s="577"/>
      <c r="H19" s="550">
        <v>20</v>
      </c>
      <c r="I19" s="633"/>
      <c r="J19" s="633"/>
      <c r="K19" s="633"/>
      <c r="L19" s="682"/>
      <c r="M19" s="682"/>
      <c r="N19" s="684"/>
      <c r="O19" s="2"/>
      <c r="P19" s="412">
        <v>0.10299999999999999</v>
      </c>
      <c r="Q19" s="412">
        <v>8.2000000000000003E-2</v>
      </c>
      <c r="R19" s="451">
        <v>66</v>
      </c>
      <c r="S19" s="420"/>
      <c r="T19" s="421">
        <v>101</v>
      </c>
      <c r="U19" s="420"/>
      <c r="V19" s="494">
        <v>0</v>
      </c>
    </row>
    <row r="20" spans="1:25" ht="15.75" thickBot="1" x14ac:dyDescent="0.3">
      <c r="A20" s="637"/>
      <c r="B20" s="544">
        <v>27</v>
      </c>
      <c r="C20" s="564" t="s">
        <v>230</v>
      </c>
      <c r="D20" s="550" t="s">
        <v>14</v>
      </c>
      <c r="E20" s="550" t="s">
        <v>231</v>
      </c>
      <c r="F20" s="576">
        <v>1.0543</v>
      </c>
      <c r="G20" s="577"/>
      <c r="H20" s="550">
        <v>1</v>
      </c>
      <c r="I20" s="633"/>
      <c r="J20" s="633"/>
      <c r="K20" s="633"/>
      <c r="L20" s="682"/>
      <c r="M20" s="682"/>
      <c r="N20" s="684"/>
      <c r="O20" s="2"/>
      <c r="P20" s="412">
        <v>0.10299999999999999</v>
      </c>
      <c r="Q20" s="412">
        <v>8.2000000000000003E-2</v>
      </c>
      <c r="R20" s="451">
        <v>66</v>
      </c>
      <c r="S20" s="420"/>
      <c r="T20" s="421">
        <v>101</v>
      </c>
      <c r="U20" s="420"/>
      <c r="V20" s="494">
        <v>0</v>
      </c>
    </row>
    <row r="21" spans="1:25" ht="13.9" customHeight="1" thickBot="1" x14ac:dyDescent="0.3">
      <c r="A21" s="637"/>
      <c r="B21" s="544">
        <v>28</v>
      </c>
      <c r="C21" s="564" t="s">
        <v>285</v>
      </c>
      <c r="D21" s="550" t="s">
        <v>14</v>
      </c>
      <c r="E21" s="550">
        <v>132</v>
      </c>
      <c r="F21" s="576">
        <v>1.0698000000000001</v>
      </c>
      <c r="G21" s="577"/>
      <c r="H21" s="550">
        <v>100</v>
      </c>
      <c r="I21" s="633"/>
      <c r="J21" s="633"/>
      <c r="K21" s="633"/>
      <c r="L21" s="682"/>
      <c r="M21" s="682"/>
      <c r="N21" s="684"/>
      <c r="O21" s="2"/>
      <c r="P21" s="412">
        <v>0.10299999999999999</v>
      </c>
      <c r="Q21" s="412">
        <v>8.2000000000000003E-2</v>
      </c>
      <c r="R21" s="451">
        <v>66</v>
      </c>
      <c r="S21" s="420"/>
      <c r="T21" s="421">
        <v>101</v>
      </c>
      <c r="U21" s="420"/>
      <c r="V21" s="494">
        <v>0</v>
      </c>
      <c r="X21" s="23"/>
      <c r="Y21" s="23"/>
    </row>
    <row r="22" spans="1:25" ht="13.9" customHeight="1" thickBot="1" x14ac:dyDescent="0.3">
      <c r="A22" s="637"/>
      <c r="B22" s="544">
        <v>29</v>
      </c>
      <c r="C22" s="564" t="s">
        <v>285</v>
      </c>
      <c r="D22" s="550" t="s">
        <v>14</v>
      </c>
      <c r="E22" s="550">
        <v>500</v>
      </c>
      <c r="F22" s="576">
        <v>1.0760000000000001</v>
      </c>
      <c r="G22" s="577"/>
      <c r="H22" s="550">
        <v>750</v>
      </c>
      <c r="I22" s="633"/>
      <c r="J22" s="633"/>
      <c r="K22" s="633"/>
      <c r="L22" s="682"/>
      <c r="M22" s="682"/>
      <c r="N22" s="684"/>
      <c r="O22" s="2"/>
      <c r="P22" s="412">
        <v>0.10299999999999999</v>
      </c>
      <c r="Q22" s="412">
        <v>8.2000000000000003E-2</v>
      </c>
      <c r="R22" s="451">
        <v>66</v>
      </c>
      <c r="S22" s="420"/>
      <c r="T22" s="421">
        <v>101</v>
      </c>
      <c r="U22" s="420"/>
      <c r="V22" s="494">
        <v>0</v>
      </c>
      <c r="X22" s="23"/>
      <c r="Y22" s="23"/>
    </row>
    <row r="23" spans="1:25" ht="15.75" customHeight="1" thickBot="1" x14ac:dyDescent="0.3">
      <c r="A23" s="637"/>
      <c r="B23" s="544">
        <v>30</v>
      </c>
      <c r="C23" s="564" t="s">
        <v>23</v>
      </c>
      <c r="D23" s="550" t="s">
        <v>14</v>
      </c>
      <c r="E23" s="550">
        <v>500</v>
      </c>
      <c r="F23" s="576">
        <v>1.07758</v>
      </c>
      <c r="G23" s="577"/>
      <c r="H23" s="550">
        <v>750</v>
      </c>
      <c r="I23" s="633"/>
      <c r="J23" s="633"/>
      <c r="K23" s="633"/>
      <c r="L23" s="682"/>
      <c r="M23" s="682"/>
      <c r="N23" s="684"/>
      <c r="O23" s="2"/>
      <c r="P23" s="412">
        <v>0.105</v>
      </c>
      <c r="Q23" s="412">
        <v>8.4000000000000005E-2</v>
      </c>
      <c r="R23" s="451">
        <v>66</v>
      </c>
      <c r="S23" s="420"/>
      <c r="T23" s="421">
        <v>101</v>
      </c>
      <c r="U23" s="425"/>
      <c r="V23" s="494">
        <v>0</v>
      </c>
    </row>
    <row r="24" spans="1:25" ht="15" customHeight="1" thickBot="1" x14ac:dyDescent="0.3">
      <c r="A24" s="637"/>
      <c r="B24" s="397">
        <v>31</v>
      </c>
      <c r="C24" s="564" t="s">
        <v>24</v>
      </c>
      <c r="D24" s="550" t="s">
        <v>14</v>
      </c>
      <c r="E24" s="550">
        <v>500</v>
      </c>
      <c r="F24" s="576">
        <v>1.0263550000000001</v>
      </c>
      <c r="G24" s="578"/>
      <c r="H24" s="550">
        <v>600</v>
      </c>
      <c r="I24" s="633" t="s">
        <v>232</v>
      </c>
      <c r="J24" s="633"/>
      <c r="K24" s="633"/>
      <c r="L24" s="682" t="s">
        <v>25</v>
      </c>
      <c r="M24" s="630" t="s">
        <v>311</v>
      </c>
      <c r="N24" s="691"/>
      <c r="O24" s="2"/>
      <c r="P24" s="412">
        <v>0.47799999999999998</v>
      </c>
      <c r="Q24" s="412">
        <v>0.442</v>
      </c>
      <c r="R24" s="451">
        <v>39</v>
      </c>
      <c r="S24" s="420"/>
      <c r="T24" s="421">
        <v>61</v>
      </c>
      <c r="U24" s="425"/>
      <c r="V24" s="494">
        <v>0</v>
      </c>
    </row>
    <row r="25" spans="1:25" ht="15.75" thickBot="1" x14ac:dyDescent="0.3">
      <c r="A25" s="637"/>
      <c r="B25" s="538">
        <v>31.1</v>
      </c>
      <c r="C25" s="579" t="s">
        <v>233</v>
      </c>
      <c r="D25" s="550" t="s">
        <v>14</v>
      </c>
      <c r="E25" s="550">
        <v>33</v>
      </c>
      <c r="F25" s="565">
        <v>1.044</v>
      </c>
      <c r="G25" s="566"/>
      <c r="H25" s="566">
        <v>10</v>
      </c>
      <c r="I25" s="633"/>
      <c r="J25" s="633"/>
      <c r="K25" s="633"/>
      <c r="L25" s="682"/>
      <c r="M25" s="630"/>
      <c r="N25" s="691"/>
      <c r="O25" s="2"/>
      <c r="P25" s="412">
        <v>0.47799999999999998</v>
      </c>
      <c r="Q25" s="412">
        <v>0.442</v>
      </c>
      <c r="R25" s="451">
        <v>39</v>
      </c>
      <c r="S25" s="425"/>
      <c r="T25" s="421">
        <v>61</v>
      </c>
      <c r="U25" s="425"/>
      <c r="V25" s="494">
        <v>0</v>
      </c>
    </row>
    <row r="26" spans="1:25" ht="13.9" customHeight="1" thickBot="1" x14ac:dyDescent="0.3">
      <c r="A26" s="637"/>
      <c r="B26" s="544">
        <v>31.2</v>
      </c>
      <c r="C26" s="564" t="s">
        <v>286</v>
      </c>
      <c r="D26" s="550" t="s">
        <v>14</v>
      </c>
      <c r="E26" s="550">
        <v>132</v>
      </c>
      <c r="F26" s="576">
        <v>1.0927</v>
      </c>
      <c r="G26" s="577"/>
      <c r="H26" s="550">
        <v>80</v>
      </c>
      <c r="I26" s="633"/>
      <c r="J26" s="633"/>
      <c r="K26" s="633"/>
      <c r="L26" s="727"/>
      <c r="M26" s="633"/>
      <c r="N26" s="728"/>
      <c r="O26" s="508"/>
      <c r="P26" s="412">
        <v>0.47799999999999998</v>
      </c>
      <c r="Q26" s="412">
        <v>0.442</v>
      </c>
      <c r="R26" s="451">
        <v>39</v>
      </c>
      <c r="S26" s="425"/>
      <c r="T26" s="421">
        <v>61</v>
      </c>
      <c r="U26" s="425"/>
      <c r="V26" s="494">
        <v>0</v>
      </c>
      <c r="W26" s="23"/>
      <c r="X26" s="23"/>
      <c r="Y26" s="23"/>
    </row>
    <row r="27" spans="1:25" ht="15" customHeight="1" thickBot="1" x14ac:dyDescent="0.3">
      <c r="A27" s="637"/>
      <c r="B27" s="397">
        <v>32</v>
      </c>
      <c r="C27" s="564" t="s">
        <v>26</v>
      </c>
      <c r="D27" s="550" t="s">
        <v>14</v>
      </c>
      <c r="E27" s="550">
        <v>132</v>
      </c>
      <c r="F27" s="576">
        <v>1.11548</v>
      </c>
      <c r="G27" s="577"/>
      <c r="H27" s="550">
        <v>115</v>
      </c>
      <c r="I27" s="633" t="s">
        <v>234</v>
      </c>
      <c r="J27" s="633"/>
      <c r="K27" s="633"/>
      <c r="L27" s="630" t="s">
        <v>27</v>
      </c>
      <c r="M27" s="630" t="s">
        <v>312</v>
      </c>
      <c r="N27" s="691"/>
      <c r="O27" s="2"/>
      <c r="P27" s="412">
        <v>0.47799999999999998</v>
      </c>
      <c r="Q27" s="412">
        <v>0.442</v>
      </c>
      <c r="R27" s="451">
        <v>39</v>
      </c>
      <c r="S27" s="420"/>
      <c r="T27" s="421">
        <v>61</v>
      </c>
      <c r="U27" s="425"/>
      <c r="V27" s="494">
        <v>0</v>
      </c>
    </row>
    <row r="28" spans="1:25" ht="15.75" customHeight="1" thickBot="1" x14ac:dyDescent="0.3">
      <c r="A28" s="637"/>
      <c r="B28" s="397">
        <v>33</v>
      </c>
      <c r="C28" s="579" t="s">
        <v>28</v>
      </c>
      <c r="D28" s="550" t="s">
        <v>14</v>
      </c>
      <c r="E28" s="550">
        <v>500</v>
      </c>
      <c r="F28" s="576">
        <v>1.06416</v>
      </c>
      <c r="G28" s="549" t="s">
        <v>235</v>
      </c>
      <c r="H28" s="550">
        <v>300</v>
      </c>
      <c r="I28" s="633"/>
      <c r="J28" s="633"/>
      <c r="K28" s="633"/>
      <c r="L28" s="630"/>
      <c r="M28" s="630"/>
      <c r="N28" s="691"/>
      <c r="O28" s="2"/>
      <c r="P28" s="412">
        <v>0.10299999999999999</v>
      </c>
      <c r="Q28" s="412">
        <v>8.2000000000000003E-2</v>
      </c>
      <c r="R28" s="451">
        <v>66</v>
      </c>
      <c r="S28" s="420"/>
      <c r="T28" s="421">
        <v>101</v>
      </c>
      <c r="U28" s="425"/>
      <c r="V28" s="494">
        <v>0</v>
      </c>
    </row>
    <row r="29" spans="1:25" ht="14.25" customHeight="1" thickBot="1" x14ac:dyDescent="0.3">
      <c r="A29" s="637"/>
      <c r="B29" s="397">
        <v>34</v>
      </c>
      <c r="C29" s="579" t="s">
        <v>236</v>
      </c>
      <c r="D29" s="550" t="s">
        <v>14</v>
      </c>
      <c r="E29" s="550">
        <v>500</v>
      </c>
      <c r="F29" s="576">
        <v>1.0515300000000001</v>
      </c>
      <c r="G29" s="549" t="s">
        <v>235</v>
      </c>
      <c r="H29" s="550">
        <v>300</v>
      </c>
      <c r="I29" s="633"/>
      <c r="J29" s="633"/>
      <c r="K29" s="633"/>
      <c r="L29" s="630"/>
      <c r="M29" s="630"/>
      <c r="N29" s="691"/>
      <c r="O29" s="2"/>
      <c r="P29" s="412">
        <v>0.39</v>
      </c>
      <c r="Q29" s="412">
        <v>0.35399999999999998</v>
      </c>
      <c r="R29" s="420"/>
      <c r="S29" s="609">
        <v>7</v>
      </c>
      <c r="T29" s="425"/>
      <c r="U29" s="421">
        <v>32</v>
      </c>
      <c r="V29" s="494">
        <v>0</v>
      </c>
    </row>
    <row r="30" spans="1:25" ht="16.5" customHeight="1" thickBot="1" x14ac:dyDescent="0.3">
      <c r="A30" s="637"/>
      <c r="B30" s="397">
        <v>35</v>
      </c>
      <c r="C30" s="579" t="s">
        <v>29</v>
      </c>
      <c r="D30" s="550" t="s">
        <v>14</v>
      </c>
      <c r="E30" s="550">
        <v>500</v>
      </c>
      <c r="F30" s="576">
        <v>1.0484200000000001</v>
      </c>
      <c r="G30" s="549" t="s">
        <v>235</v>
      </c>
      <c r="H30" s="550">
        <v>300</v>
      </c>
      <c r="I30" s="633"/>
      <c r="J30" s="633"/>
      <c r="K30" s="633"/>
      <c r="L30" s="630"/>
      <c r="M30" s="630"/>
      <c r="N30" s="691"/>
      <c r="O30" s="2"/>
      <c r="P30" s="412">
        <v>0.39</v>
      </c>
      <c r="Q30" s="412">
        <v>0.35399999999999998</v>
      </c>
      <c r="R30" s="420"/>
      <c r="S30" s="609">
        <v>7</v>
      </c>
      <c r="T30" s="425"/>
      <c r="U30" s="421">
        <v>32</v>
      </c>
      <c r="V30" s="494">
        <v>0</v>
      </c>
    </row>
    <row r="31" spans="1:25" ht="15.75" thickBot="1" x14ac:dyDescent="0.3">
      <c r="A31" s="637"/>
      <c r="B31" s="538">
        <v>36</v>
      </c>
      <c r="C31" s="579" t="s">
        <v>237</v>
      </c>
      <c r="D31" s="550" t="s">
        <v>14</v>
      </c>
      <c r="E31" s="550">
        <v>33</v>
      </c>
      <c r="F31" s="565">
        <v>0.98899999999999999</v>
      </c>
      <c r="G31" s="566"/>
      <c r="H31" s="566">
        <v>5</v>
      </c>
      <c r="I31" s="633"/>
      <c r="J31" s="633"/>
      <c r="K31" s="633"/>
      <c r="L31" s="630"/>
      <c r="M31" s="630"/>
      <c r="N31" s="691"/>
      <c r="O31" s="2"/>
      <c r="P31" s="412">
        <v>0.10299999999999999</v>
      </c>
      <c r="Q31" s="412">
        <v>8.2000000000000003E-2</v>
      </c>
      <c r="R31" s="451">
        <v>66</v>
      </c>
      <c r="S31" s="420"/>
      <c r="T31" s="421">
        <v>101</v>
      </c>
      <c r="U31" s="514"/>
      <c r="V31" s="494">
        <v>0</v>
      </c>
    </row>
    <row r="32" spans="1:25" ht="15.75" thickBot="1" x14ac:dyDescent="0.3">
      <c r="A32" s="637"/>
      <c r="B32" s="397">
        <v>37</v>
      </c>
      <c r="C32" s="579" t="s">
        <v>238</v>
      </c>
      <c r="D32" s="550" t="s">
        <v>14</v>
      </c>
      <c r="E32" s="550">
        <v>33</v>
      </c>
      <c r="F32" s="576">
        <v>1.0606</v>
      </c>
      <c r="G32" s="580"/>
      <c r="H32" s="550">
        <v>5</v>
      </c>
      <c r="I32" s="633"/>
      <c r="J32" s="633"/>
      <c r="K32" s="633"/>
      <c r="L32" s="630"/>
      <c r="M32" s="630"/>
      <c r="N32" s="691"/>
      <c r="O32" s="2"/>
      <c r="P32" s="412">
        <v>0.39</v>
      </c>
      <c r="Q32" s="412">
        <v>0.35399999999999998</v>
      </c>
      <c r="R32" s="451">
        <v>51</v>
      </c>
      <c r="S32" s="420"/>
      <c r="T32" s="421">
        <v>61</v>
      </c>
      <c r="U32" s="420"/>
      <c r="V32" s="494">
        <v>0</v>
      </c>
    </row>
    <row r="33" spans="1:25" ht="18.600000000000001" customHeight="1" thickBot="1" x14ac:dyDescent="0.3">
      <c r="A33" s="536"/>
      <c r="B33" s="542">
        <v>38</v>
      </c>
      <c r="C33" s="568" t="s">
        <v>287</v>
      </c>
      <c r="D33" s="569" t="s">
        <v>14</v>
      </c>
      <c r="E33" s="569">
        <v>33</v>
      </c>
      <c r="F33" s="570">
        <v>1.0609999999999999</v>
      </c>
      <c r="G33" s="581"/>
      <c r="H33" s="569">
        <v>5</v>
      </c>
      <c r="I33" s="634"/>
      <c r="J33" s="634"/>
      <c r="K33" s="634"/>
      <c r="L33" s="634"/>
      <c r="M33" s="634"/>
      <c r="N33" s="729"/>
      <c r="O33" s="509"/>
      <c r="P33" s="412">
        <v>0.39</v>
      </c>
      <c r="Q33" s="412">
        <v>0.35399999999999998</v>
      </c>
      <c r="R33" s="495">
        <v>51</v>
      </c>
      <c r="S33" s="427"/>
      <c r="T33" s="430">
        <v>61</v>
      </c>
      <c r="U33" s="427"/>
      <c r="V33" s="496">
        <v>0</v>
      </c>
      <c r="W33" s="23"/>
      <c r="X33" s="23"/>
      <c r="Y33" s="23"/>
    </row>
    <row r="34" spans="1:25" ht="15.75" customHeight="1" thickBot="1" x14ac:dyDescent="0.3">
      <c r="A34" s="636" t="s">
        <v>30</v>
      </c>
      <c r="B34" s="388">
        <v>40</v>
      </c>
      <c r="C34" s="532" t="s">
        <v>31</v>
      </c>
      <c r="D34" s="388" t="s">
        <v>14</v>
      </c>
      <c r="E34" s="388">
        <v>132</v>
      </c>
      <c r="F34" s="533">
        <v>1.0669999999999999</v>
      </c>
      <c r="G34" s="534" t="s">
        <v>239</v>
      </c>
      <c r="H34" s="575">
        <v>120</v>
      </c>
      <c r="I34" s="599" t="s">
        <v>32</v>
      </c>
      <c r="J34" s="639" t="s">
        <v>33</v>
      </c>
      <c r="K34" s="639" t="s">
        <v>240</v>
      </c>
      <c r="L34" s="629" t="s">
        <v>30</v>
      </c>
      <c r="M34" s="681" t="s">
        <v>314</v>
      </c>
      <c r="N34" s="683"/>
      <c r="O34" s="2"/>
      <c r="P34" s="412">
        <v>0.30399999999999999</v>
      </c>
      <c r="Q34" s="412">
        <v>0.26800000000000002</v>
      </c>
      <c r="R34" s="510">
        <v>72</v>
      </c>
      <c r="S34" s="511"/>
      <c r="T34" s="512">
        <v>101</v>
      </c>
      <c r="U34" s="513"/>
      <c r="V34" s="504">
        <v>0</v>
      </c>
    </row>
    <row r="35" spans="1:25" ht="15.75" thickBot="1" x14ac:dyDescent="0.3">
      <c r="A35" s="637"/>
      <c r="B35" s="392">
        <v>41</v>
      </c>
      <c r="C35" s="535" t="s">
        <v>299</v>
      </c>
      <c r="D35" s="392" t="s">
        <v>81</v>
      </c>
      <c r="E35" s="392">
        <v>132</v>
      </c>
      <c r="F35" s="393">
        <v>1.0669999999999999</v>
      </c>
      <c r="G35" s="528"/>
      <c r="H35" s="550">
        <v>120</v>
      </c>
      <c r="I35" s="600"/>
      <c r="J35" s="633"/>
      <c r="K35" s="633"/>
      <c r="L35" s="630"/>
      <c r="M35" s="682"/>
      <c r="N35" s="684"/>
      <c r="O35" s="2"/>
      <c r="P35" s="412">
        <v>0.30399999999999999</v>
      </c>
      <c r="Q35" s="412">
        <v>0.26800000000000002</v>
      </c>
      <c r="R35" s="510">
        <v>72</v>
      </c>
      <c r="S35" s="420"/>
      <c r="T35" s="512">
        <v>101</v>
      </c>
      <c r="U35" s="424"/>
      <c r="V35" s="504">
        <v>0</v>
      </c>
    </row>
    <row r="36" spans="1:25" ht="15.75" thickBot="1" x14ac:dyDescent="0.3">
      <c r="A36" s="637"/>
      <c r="B36" s="390">
        <v>50</v>
      </c>
      <c r="C36" s="389" t="s">
        <v>34</v>
      </c>
      <c r="D36" s="390" t="s">
        <v>14</v>
      </c>
      <c r="E36" s="390">
        <v>500</v>
      </c>
      <c r="F36" s="395">
        <v>1.069</v>
      </c>
      <c r="G36" s="396"/>
      <c r="H36" s="550">
        <v>800</v>
      </c>
      <c r="I36" s="600"/>
      <c r="J36" s="633"/>
      <c r="K36" s="633"/>
      <c r="L36" s="630"/>
      <c r="M36" s="682" t="s">
        <v>310</v>
      </c>
      <c r="N36" s="684"/>
      <c r="O36" s="2"/>
      <c r="P36" s="412">
        <v>0.30399999999999999</v>
      </c>
      <c r="Q36" s="412">
        <v>0.26800000000000002</v>
      </c>
      <c r="R36" s="419">
        <v>72</v>
      </c>
      <c r="S36" s="420"/>
      <c r="T36" s="421">
        <v>101</v>
      </c>
      <c r="U36" s="423"/>
      <c r="V36" s="504">
        <v>0</v>
      </c>
    </row>
    <row r="37" spans="1:25" ht="15.75" customHeight="1" thickBot="1" x14ac:dyDescent="0.3">
      <c r="A37" s="637"/>
      <c r="B37" s="390">
        <v>60</v>
      </c>
      <c r="C37" s="529" t="s">
        <v>36</v>
      </c>
      <c r="D37" s="390" t="s">
        <v>14</v>
      </c>
      <c r="E37" s="390">
        <v>500</v>
      </c>
      <c r="F37" s="395">
        <v>1.0740000000000001</v>
      </c>
      <c r="G37" s="396"/>
      <c r="H37" s="550">
        <v>800</v>
      </c>
      <c r="I37" s="550" t="s">
        <v>35</v>
      </c>
      <c r="J37" s="550"/>
      <c r="K37" s="633"/>
      <c r="L37" s="630"/>
      <c r="M37" s="630" t="s">
        <v>315</v>
      </c>
      <c r="N37" s="691"/>
      <c r="O37" s="2"/>
      <c r="P37" s="412">
        <v>0.30399999999999999</v>
      </c>
      <c r="Q37" s="412">
        <v>0.26800000000000002</v>
      </c>
      <c r="R37" s="419">
        <v>72</v>
      </c>
      <c r="S37" s="420"/>
      <c r="T37" s="421">
        <v>101</v>
      </c>
      <c r="U37" s="423"/>
      <c r="V37" s="504">
        <v>0</v>
      </c>
    </row>
    <row r="38" spans="1:25" ht="15.75" customHeight="1" thickBot="1" x14ac:dyDescent="0.3">
      <c r="A38" s="638"/>
      <c r="B38" s="399"/>
      <c r="C38" s="530"/>
      <c r="D38" s="399"/>
      <c r="E38" s="399"/>
      <c r="F38" s="400"/>
      <c r="G38" s="531"/>
      <c r="H38" s="569"/>
      <c r="I38" s="569"/>
      <c r="J38" s="569"/>
      <c r="K38" s="634"/>
      <c r="L38" s="631"/>
      <c r="M38" s="631"/>
      <c r="N38" s="692"/>
      <c r="O38" s="2"/>
      <c r="P38" s="412">
        <v>0.30399999999999999</v>
      </c>
      <c r="Q38" s="412">
        <v>0.26800000000000002</v>
      </c>
      <c r="R38" s="429"/>
      <c r="S38" s="427"/>
      <c r="T38" s="427"/>
      <c r="U38" s="428"/>
      <c r="V38" s="505">
        <v>0</v>
      </c>
    </row>
    <row r="39" spans="1:25" ht="15.75" customHeight="1" thickBot="1" x14ac:dyDescent="0.3">
      <c r="A39" s="709" t="s">
        <v>37</v>
      </c>
      <c r="B39" s="575">
        <v>70</v>
      </c>
      <c r="C39" s="582" t="s">
        <v>38</v>
      </c>
      <c r="D39" s="575" t="s">
        <v>14</v>
      </c>
      <c r="E39" s="575">
        <v>132</v>
      </c>
      <c r="F39" s="573">
        <v>1.0773349999999999</v>
      </c>
      <c r="G39" s="574"/>
      <c r="H39" s="575">
        <v>150</v>
      </c>
      <c r="I39" s="639" t="s">
        <v>241</v>
      </c>
      <c r="J39" s="639"/>
      <c r="K39" s="639" t="s">
        <v>39</v>
      </c>
      <c r="L39" s="629" t="s">
        <v>37</v>
      </c>
      <c r="M39" s="629" t="s">
        <v>40</v>
      </c>
      <c r="N39" s="693"/>
      <c r="O39" s="2"/>
      <c r="P39" s="412">
        <v>0.35299999999999998</v>
      </c>
      <c r="Q39" s="412">
        <v>0.32100000000000001</v>
      </c>
      <c r="R39" s="413">
        <v>68</v>
      </c>
      <c r="S39" s="414"/>
      <c r="T39" s="415">
        <v>101</v>
      </c>
      <c r="U39" s="416"/>
      <c r="V39" s="503">
        <v>0</v>
      </c>
    </row>
    <row r="40" spans="1:25" ht="15.75" thickBot="1" x14ac:dyDescent="0.3">
      <c r="A40" s="641"/>
      <c r="B40" s="550">
        <v>80</v>
      </c>
      <c r="C40" s="564" t="s">
        <v>41</v>
      </c>
      <c r="D40" s="550" t="s">
        <v>14</v>
      </c>
      <c r="E40" s="550">
        <v>500</v>
      </c>
      <c r="F40" s="576">
        <v>1.06454</v>
      </c>
      <c r="G40" s="577"/>
      <c r="H40" s="550">
        <v>300</v>
      </c>
      <c r="I40" s="633"/>
      <c r="J40" s="633"/>
      <c r="K40" s="633"/>
      <c r="L40" s="630"/>
      <c r="M40" s="630"/>
      <c r="N40" s="691"/>
      <c r="O40" s="2"/>
      <c r="P40" s="412">
        <v>0.35299999999999998</v>
      </c>
      <c r="Q40" s="412">
        <v>0.32100000000000001</v>
      </c>
      <c r="R40" s="419">
        <v>68</v>
      </c>
      <c r="S40" s="420"/>
      <c r="T40" s="421">
        <v>101</v>
      </c>
      <c r="U40" s="423"/>
      <c r="V40" s="504">
        <v>0</v>
      </c>
    </row>
    <row r="41" spans="1:25" ht="21" customHeight="1" thickBot="1" x14ac:dyDescent="0.3">
      <c r="A41" s="641"/>
      <c r="B41" s="550">
        <v>81</v>
      </c>
      <c r="C41" s="564" t="s">
        <v>42</v>
      </c>
      <c r="D41" s="550" t="s">
        <v>14</v>
      </c>
      <c r="E41" s="550">
        <v>132</v>
      </c>
      <c r="F41" s="576">
        <v>1.0793550000000001</v>
      </c>
      <c r="G41" s="564" t="s">
        <v>242</v>
      </c>
      <c r="H41" s="550">
        <v>120</v>
      </c>
      <c r="I41" s="633" t="s">
        <v>243</v>
      </c>
      <c r="J41" s="633"/>
      <c r="K41" s="633"/>
      <c r="L41" s="630"/>
      <c r="M41" s="630"/>
      <c r="N41" s="691"/>
      <c r="O41" s="2"/>
      <c r="P41" s="412">
        <v>0.153</v>
      </c>
      <c r="Q41" s="412">
        <v>0.108</v>
      </c>
      <c r="R41" s="419">
        <v>68</v>
      </c>
      <c r="S41" s="420"/>
      <c r="T41" s="421">
        <v>101</v>
      </c>
      <c r="U41" s="423"/>
      <c r="V41" s="504">
        <v>0</v>
      </c>
    </row>
    <row r="42" spans="1:25" ht="16.5" customHeight="1" thickBot="1" x14ac:dyDescent="0.3">
      <c r="A42" s="641"/>
      <c r="B42" s="550">
        <v>82</v>
      </c>
      <c r="C42" s="564" t="s">
        <v>244</v>
      </c>
      <c r="D42" s="550" t="s">
        <v>14</v>
      </c>
      <c r="E42" s="550">
        <v>132</v>
      </c>
      <c r="F42" s="576">
        <v>1.0885</v>
      </c>
      <c r="G42" s="583"/>
      <c r="H42" s="550">
        <v>70</v>
      </c>
      <c r="I42" s="633"/>
      <c r="J42" s="633"/>
      <c r="K42" s="633"/>
      <c r="L42" s="630"/>
      <c r="M42" s="630"/>
      <c r="N42" s="691"/>
      <c r="O42" s="2"/>
      <c r="P42" s="412">
        <v>0.153</v>
      </c>
      <c r="Q42" s="412">
        <v>0.108</v>
      </c>
      <c r="R42" s="419">
        <v>68</v>
      </c>
      <c r="S42" s="420"/>
      <c r="T42" s="421">
        <v>101</v>
      </c>
      <c r="U42" s="424"/>
      <c r="V42" s="504">
        <v>0</v>
      </c>
    </row>
    <row r="43" spans="1:25" ht="15.75" thickBot="1" x14ac:dyDescent="0.3">
      <c r="A43" s="641"/>
      <c r="B43" s="550">
        <v>90</v>
      </c>
      <c r="C43" s="564" t="s">
        <v>43</v>
      </c>
      <c r="D43" s="550" t="s">
        <v>14</v>
      </c>
      <c r="E43" s="550">
        <v>500</v>
      </c>
      <c r="F43" s="576">
        <v>1.07789</v>
      </c>
      <c r="G43" s="577"/>
      <c r="H43" s="550">
        <v>400</v>
      </c>
      <c r="I43" s="633"/>
      <c r="J43" s="633"/>
      <c r="K43" s="633"/>
      <c r="L43" s="630"/>
      <c r="M43" s="630"/>
      <c r="N43" s="691"/>
      <c r="O43" s="2"/>
      <c r="P43" s="412">
        <v>0.153</v>
      </c>
      <c r="Q43" s="412">
        <v>0.108</v>
      </c>
      <c r="R43" s="419">
        <v>68</v>
      </c>
      <c r="S43" s="420"/>
      <c r="T43" s="421">
        <v>101</v>
      </c>
      <c r="U43" s="423"/>
      <c r="V43" s="504">
        <v>0</v>
      </c>
    </row>
    <row r="44" spans="1:25" ht="15" customHeight="1" thickBot="1" x14ac:dyDescent="0.3">
      <c r="A44" s="641"/>
      <c r="B44" s="550">
        <v>91</v>
      </c>
      <c r="C44" s="564" t="s">
        <v>44</v>
      </c>
      <c r="D44" s="550" t="s">
        <v>14</v>
      </c>
      <c r="E44" s="550">
        <v>132</v>
      </c>
      <c r="F44" s="576">
        <v>1.0636749999999999</v>
      </c>
      <c r="G44" s="584"/>
      <c r="H44" s="550">
        <v>0</v>
      </c>
      <c r="I44" s="633" t="s">
        <v>245</v>
      </c>
      <c r="J44" s="633"/>
      <c r="K44" s="633"/>
      <c r="L44" s="630"/>
      <c r="M44" s="630"/>
      <c r="N44" s="691"/>
      <c r="O44" s="2"/>
      <c r="P44" s="412">
        <v>0.249</v>
      </c>
      <c r="Q44" s="412">
        <v>0.20399999999999999</v>
      </c>
      <c r="R44" s="419">
        <v>68</v>
      </c>
      <c r="S44" s="420"/>
      <c r="T44" s="421">
        <v>101</v>
      </c>
      <c r="U44" s="423"/>
      <c r="V44" s="504">
        <v>0</v>
      </c>
    </row>
    <row r="45" spans="1:25" ht="15.75" thickBot="1" x14ac:dyDescent="0.3">
      <c r="A45" s="641"/>
      <c r="B45" s="550">
        <v>100</v>
      </c>
      <c r="C45" s="564" t="s">
        <v>45</v>
      </c>
      <c r="D45" s="550" t="s">
        <v>14</v>
      </c>
      <c r="E45" s="550">
        <v>132</v>
      </c>
      <c r="F45" s="576">
        <v>1.0708549999999999</v>
      </c>
      <c r="G45" s="577"/>
      <c r="H45" s="550">
        <v>135</v>
      </c>
      <c r="I45" s="633"/>
      <c r="J45" s="633"/>
      <c r="K45" s="633"/>
      <c r="L45" s="630"/>
      <c r="M45" s="630"/>
      <c r="N45" s="691"/>
      <c r="O45" s="2"/>
      <c r="P45" s="412">
        <v>0.249</v>
      </c>
      <c r="Q45" s="412">
        <v>0.20399999999999999</v>
      </c>
      <c r="R45" s="419">
        <v>68</v>
      </c>
      <c r="S45" s="420"/>
      <c r="T45" s="421">
        <v>101</v>
      </c>
      <c r="U45" s="423"/>
      <c r="V45" s="504">
        <v>0</v>
      </c>
    </row>
    <row r="46" spans="1:25" ht="15.75" customHeight="1" thickBot="1" x14ac:dyDescent="0.3">
      <c r="A46" s="642"/>
      <c r="B46" s="569">
        <v>101</v>
      </c>
      <c r="C46" s="568" t="s">
        <v>46</v>
      </c>
      <c r="D46" s="569" t="s">
        <v>14</v>
      </c>
      <c r="E46" s="569">
        <v>500</v>
      </c>
      <c r="F46" s="570">
        <v>1.0691600000000001</v>
      </c>
      <c r="G46" s="581"/>
      <c r="H46" s="569">
        <v>300</v>
      </c>
      <c r="I46" s="634"/>
      <c r="J46" s="634"/>
      <c r="K46" s="634"/>
      <c r="L46" s="631"/>
      <c r="M46" s="631"/>
      <c r="N46" s="692"/>
      <c r="O46" s="2"/>
      <c r="P46" s="412">
        <v>0.249</v>
      </c>
      <c r="Q46" s="412">
        <v>0.20399999999999999</v>
      </c>
      <c r="R46" s="426">
        <v>68</v>
      </c>
      <c r="S46" s="427"/>
      <c r="T46" s="430">
        <v>101</v>
      </c>
      <c r="U46" s="431"/>
      <c r="V46" s="505">
        <v>0</v>
      </c>
    </row>
    <row r="47" spans="1:25" ht="15.75" customHeight="1" x14ac:dyDescent="0.25">
      <c r="A47" s="694" t="s">
        <v>2</v>
      </c>
      <c r="B47" s="694" t="s">
        <v>3</v>
      </c>
      <c r="C47" s="695" t="s">
        <v>219</v>
      </c>
      <c r="D47" s="695"/>
      <c r="E47" s="695" t="s">
        <v>4</v>
      </c>
      <c r="F47" s="695" t="s">
        <v>5</v>
      </c>
      <c r="G47" s="661" t="s">
        <v>220</v>
      </c>
      <c r="H47" s="696" t="s">
        <v>6</v>
      </c>
      <c r="I47" s="697"/>
      <c r="J47" s="697"/>
      <c r="K47" s="697"/>
      <c r="L47" s="697"/>
      <c r="M47" s="697"/>
      <c r="N47" s="698"/>
      <c r="O47" s="2"/>
      <c r="P47" s="506" t="s">
        <v>125</v>
      </c>
      <c r="Q47" s="507" t="s">
        <v>125</v>
      </c>
      <c r="R47" s="434"/>
      <c r="S47" s="435"/>
      <c r="T47" s="436"/>
      <c r="U47" s="437"/>
      <c r="V47" s="438">
        <v>0</v>
      </c>
    </row>
    <row r="48" spans="1:25" ht="15" customHeight="1" x14ac:dyDescent="0.25">
      <c r="A48" s="653"/>
      <c r="B48" s="653"/>
      <c r="C48" s="656"/>
      <c r="D48" s="656"/>
      <c r="E48" s="656"/>
      <c r="F48" s="656"/>
      <c r="G48" s="661"/>
      <c r="H48" s="699" t="s">
        <v>7</v>
      </c>
      <c r="I48" s="701" t="s">
        <v>8</v>
      </c>
      <c r="J48" s="702"/>
      <c r="K48" s="703"/>
      <c r="L48" s="658" t="s">
        <v>2</v>
      </c>
      <c r="M48" s="671" t="s">
        <v>9</v>
      </c>
      <c r="N48" s="707"/>
      <c r="O48" s="2"/>
      <c r="P48" s="432" t="s">
        <v>125</v>
      </c>
      <c r="Q48" s="433" t="s">
        <v>125</v>
      </c>
      <c r="R48" s="439"/>
      <c r="S48" s="440"/>
      <c r="T48" s="441"/>
      <c r="U48" s="442"/>
      <c r="V48" s="438">
        <v>0</v>
      </c>
    </row>
    <row r="49" spans="1:22" ht="15.75" customHeight="1" thickBot="1" x14ac:dyDescent="0.3">
      <c r="A49" s="654"/>
      <c r="B49" s="654"/>
      <c r="C49" s="398" t="s">
        <v>10</v>
      </c>
      <c r="D49" s="398" t="s">
        <v>11</v>
      </c>
      <c r="E49" s="657"/>
      <c r="F49" s="657"/>
      <c r="G49" s="661"/>
      <c r="H49" s="700"/>
      <c r="I49" s="704"/>
      <c r="J49" s="705"/>
      <c r="K49" s="706"/>
      <c r="L49" s="659"/>
      <c r="M49" s="673"/>
      <c r="N49" s="708"/>
      <c r="O49" s="2"/>
      <c r="P49" s="497" t="s">
        <v>125</v>
      </c>
      <c r="Q49" s="498" t="s">
        <v>125</v>
      </c>
      <c r="R49" s="499"/>
      <c r="S49" s="500"/>
      <c r="T49" s="501"/>
      <c r="U49" s="502"/>
      <c r="V49" s="438">
        <v>0</v>
      </c>
    </row>
    <row r="50" spans="1:22" ht="15" customHeight="1" thickBot="1" x14ac:dyDescent="0.3">
      <c r="A50" s="640" t="s">
        <v>47</v>
      </c>
      <c r="B50" s="560">
        <v>110</v>
      </c>
      <c r="C50" s="585" t="s">
        <v>48</v>
      </c>
      <c r="D50" s="560" t="s">
        <v>14</v>
      </c>
      <c r="E50" s="560">
        <v>132</v>
      </c>
      <c r="F50" s="586">
        <v>1.0589999999999999</v>
      </c>
      <c r="G50" s="587"/>
      <c r="H50" s="551">
        <v>0</v>
      </c>
      <c r="I50" s="643" t="s">
        <v>246</v>
      </c>
      <c r="J50" s="643"/>
      <c r="K50" s="643" t="s">
        <v>247</v>
      </c>
      <c r="L50" s="646" t="s">
        <v>47</v>
      </c>
      <c r="M50" s="710" t="s">
        <v>313</v>
      </c>
      <c r="N50" s="711"/>
      <c r="O50" s="2"/>
      <c r="P50" s="412">
        <v>0.35299999999999998</v>
      </c>
      <c r="Q50" s="412">
        <v>0.32100000000000001</v>
      </c>
      <c r="R50" s="413">
        <v>40</v>
      </c>
      <c r="S50" s="443"/>
      <c r="T50" s="415">
        <v>61</v>
      </c>
      <c r="U50" s="444"/>
      <c r="V50" s="503">
        <v>0</v>
      </c>
    </row>
    <row r="51" spans="1:22" ht="15.75" thickBot="1" x14ac:dyDescent="0.3">
      <c r="A51" s="641"/>
      <c r="B51" s="550">
        <v>111</v>
      </c>
      <c r="C51" s="564" t="s">
        <v>49</v>
      </c>
      <c r="D51" s="550" t="s">
        <v>14</v>
      </c>
      <c r="E51" s="550">
        <v>132</v>
      </c>
      <c r="F51" s="576">
        <v>1.05278</v>
      </c>
      <c r="G51" s="577"/>
      <c r="H51" s="550">
        <v>30</v>
      </c>
      <c r="I51" s="644"/>
      <c r="J51" s="644"/>
      <c r="K51" s="644"/>
      <c r="L51" s="647"/>
      <c r="M51" s="712"/>
      <c r="N51" s="713"/>
      <c r="O51" s="2"/>
      <c r="P51" s="412">
        <v>0.35299999999999998</v>
      </c>
      <c r="Q51" s="412">
        <v>0.32100000000000001</v>
      </c>
      <c r="R51" s="419">
        <v>40</v>
      </c>
      <c r="S51" s="445"/>
      <c r="T51" s="421">
        <v>61</v>
      </c>
      <c r="U51" s="446"/>
      <c r="V51" s="504">
        <v>0</v>
      </c>
    </row>
    <row r="52" spans="1:22" ht="16.5" customHeight="1" thickBot="1" x14ac:dyDescent="0.3">
      <c r="A52" s="641"/>
      <c r="B52" s="550">
        <v>112</v>
      </c>
      <c r="C52" s="564" t="s">
        <v>50</v>
      </c>
      <c r="D52" s="550" t="s">
        <v>14</v>
      </c>
      <c r="E52" s="550">
        <v>500</v>
      </c>
      <c r="F52" s="576">
        <v>1.0522800000000001</v>
      </c>
      <c r="G52" s="577"/>
      <c r="H52" s="550">
        <v>800</v>
      </c>
      <c r="I52" s="644"/>
      <c r="J52" s="644"/>
      <c r="K52" s="644"/>
      <c r="L52" s="647"/>
      <c r="M52" s="712"/>
      <c r="N52" s="713"/>
      <c r="O52" s="2"/>
      <c r="P52" s="412">
        <v>0.35299999999999998</v>
      </c>
      <c r="Q52" s="412">
        <v>0.32100000000000001</v>
      </c>
      <c r="R52" s="419">
        <v>40</v>
      </c>
      <c r="S52" s="445"/>
      <c r="T52" s="421">
        <v>61</v>
      </c>
      <c r="U52" s="446"/>
      <c r="V52" s="504">
        <v>0</v>
      </c>
    </row>
    <row r="53" spans="1:22" ht="13.5" customHeight="1" thickBot="1" x14ac:dyDescent="0.3">
      <c r="A53" s="641"/>
      <c r="B53" s="550">
        <v>120</v>
      </c>
      <c r="C53" s="564" t="s">
        <v>51</v>
      </c>
      <c r="D53" s="550" t="s">
        <v>14</v>
      </c>
      <c r="E53" s="550">
        <v>132</v>
      </c>
      <c r="F53" s="576">
        <v>1.03155</v>
      </c>
      <c r="G53" s="583" t="s">
        <v>248</v>
      </c>
      <c r="H53" s="550">
        <v>48</v>
      </c>
      <c r="I53" s="644" t="s">
        <v>249</v>
      </c>
      <c r="J53" s="644"/>
      <c r="K53" s="644"/>
      <c r="L53" s="647"/>
      <c r="M53" s="712"/>
      <c r="N53" s="713"/>
      <c r="O53" s="2"/>
      <c r="P53" s="412">
        <v>0.35299999999999998</v>
      </c>
      <c r="Q53" s="412">
        <v>0.32100000000000001</v>
      </c>
      <c r="R53" s="419">
        <v>40</v>
      </c>
      <c r="S53" s="445"/>
      <c r="T53" s="421">
        <v>61</v>
      </c>
      <c r="U53" s="446"/>
      <c r="V53" s="504">
        <v>0</v>
      </c>
    </row>
    <row r="54" spans="1:22" ht="15.75" thickBot="1" x14ac:dyDescent="0.3">
      <c r="A54" s="641"/>
      <c r="B54" s="550">
        <v>121</v>
      </c>
      <c r="C54" s="564" t="s">
        <v>52</v>
      </c>
      <c r="D54" s="550" t="s">
        <v>14</v>
      </c>
      <c r="E54" s="550">
        <v>500</v>
      </c>
      <c r="F54" s="576">
        <v>1.0484450000000001</v>
      </c>
      <c r="G54" s="577"/>
      <c r="H54" s="550">
        <v>800</v>
      </c>
      <c r="I54" s="644"/>
      <c r="J54" s="644"/>
      <c r="K54" s="644"/>
      <c r="L54" s="647"/>
      <c r="M54" s="712"/>
      <c r="N54" s="713"/>
      <c r="O54" s="2"/>
      <c r="P54" s="412">
        <v>0.35299999999999998</v>
      </c>
      <c r="Q54" s="412">
        <v>0.32100000000000001</v>
      </c>
      <c r="R54" s="419">
        <v>40</v>
      </c>
      <c r="S54" s="445"/>
      <c r="T54" s="421">
        <v>61</v>
      </c>
      <c r="U54" s="446"/>
      <c r="V54" s="504">
        <v>0</v>
      </c>
    </row>
    <row r="55" spans="1:22" ht="15.75" customHeight="1" thickBot="1" x14ac:dyDescent="0.3">
      <c r="A55" s="641"/>
      <c r="B55" s="550">
        <v>130</v>
      </c>
      <c r="C55" s="564" t="s">
        <v>53</v>
      </c>
      <c r="D55" s="550" t="s">
        <v>14</v>
      </c>
      <c r="E55" s="550">
        <v>500</v>
      </c>
      <c r="F55" s="576">
        <v>1.05684</v>
      </c>
      <c r="G55" s="577"/>
      <c r="H55" s="550">
        <v>800</v>
      </c>
      <c r="I55" s="644" t="s">
        <v>250</v>
      </c>
      <c r="J55" s="644"/>
      <c r="K55" s="644"/>
      <c r="L55" s="647"/>
      <c r="M55" s="712"/>
      <c r="N55" s="713"/>
      <c r="O55" s="2"/>
      <c r="P55" s="412">
        <v>0.35299999999999998</v>
      </c>
      <c r="Q55" s="412">
        <v>0.32100000000000001</v>
      </c>
      <c r="R55" s="419">
        <v>40</v>
      </c>
      <c r="S55" s="445"/>
      <c r="T55" s="421">
        <v>61</v>
      </c>
      <c r="U55" s="446"/>
      <c r="V55" s="504">
        <v>0</v>
      </c>
    </row>
    <row r="56" spans="1:22" ht="15.75" customHeight="1" thickBot="1" x14ac:dyDescent="0.3">
      <c r="A56" s="642"/>
      <c r="B56" s="569">
        <v>131</v>
      </c>
      <c r="C56" s="568" t="s">
        <v>251</v>
      </c>
      <c r="D56" s="569" t="s">
        <v>14</v>
      </c>
      <c r="E56" s="569">
        <v>132</v>
      </c>
      <c r="F56" s="570">
        <v>1.029015</v>
      </c>
      <c r="G56" s="581"/>
      <c r="H56" s="569">
        <v>25</v>
      </c>
      <c r="I56" s="645" t="s">
        <v>252</v>
      </c>
      <c r="J56" s="645"/>
      <c r="K56" s="645"/>
      <c r="L56" s="648"/>
      <c r="M56" s="714"/>
      <c r="N56" s="715"/>
      <c r="O56" s="2"/>
      <c r="P56" s="412">
        <v>0.30399999999999999</v>
      </c>
      <c r="Q56" s="412">
        <v>0.26800000000000002</v>
      </c>
      <c r="R56" s="426">
        <v>40</v>
      </c>
      <c r="S56" s="447"/>
      <c r="T56" s="430">
        <v>61</v>
      </c>
      <c r="U56" s="448"/>
      <c r="V56" s="505">
        <v>0</v>
      </c>
    </row>
    <row r="57" spans="1:22" ht="18.75" customHeight="1" thickBot="1" x14ac:dyDescent="0.3">
      <c r="A57" s="636" t="s">
        <v>54</v>
      </c>
      <c r="B57" s="557">
        <v>137</v>
      </c>
      <c r="C57" s="489" t="s">
        <v>300</v>
      </c>
      <c r="D57" s="401" t="s">
        <v>14</v>
      </c>
      <c r="E57" s="401">
        <v>33</v>
      </c>
      <c r="F57" s="402">
        <v>1.0382</v>
      </c>
      <c r="G57" s="490"/>
      <c r="H57" s="601">
        <v>12</v>
      </c>
      <c r="I57" s="602"/>
      <c r="J57" s="639" t="s">
        <v>254</v>
      </c>
      <c r="K57" s="639"/>
      <c r="L57" s="629" t="s">
        <v>54</v>
      </c>
      <c r="M57" s="629" t="s">
        <v>316</v>
      </c>
      <c r="N57" s="693"/>
      <c r="O57" s="2"/>
      <c r="P57" s="412">
        <v>0.36599999999999999</v>
      </c>
      <c r="Q57" s="412">
        <v>0.32800000000000001</v>
      </c>
      <c r="R57" s="451">
        <v>21</v>
      </c>
      <c r="S57" s="445"/>
      <c r="T57" s="421">
        <v>39</v>
      </c>
      <c r="U57" s="445"/>
      <c r="V57" s="494">
        <v>0</v>
      </c>
    </row>
    <row r="58" spans="1:22" ht="15.75" thickBot="1" x14ac:dyDescent="0.3">
      <c r="A58" s="637"/>
      <c r="B58" s="522">
        <v>138</v>
      </c>
      <c r="C58" s="391" t="s">
        <v>301</v>
      </c>
      <c r="D58" s="392" t="s">
        <v>14</v>
      </c>
      <c r="E58" s="392">
        <v>33</v>
      </c>
      <c r="F58" s="393">
        <v>1.0481</v>
      </c>
      <c r="G58" s="394"/>
      <c r="H58" s="603">
        <v>12</v>
      </c>
      <c r="I58" s="604"/>
      <c r="J58" s="633"/>
      <c r="K58" s="633"/>
      <c r="L58" s="630"/>
      <c r="M58" s="630"/>
      <c r="N58" s="691"/>
      <c r="O58" s="2"/>
      <c r="P58" s="412">
        <v>0.36599999999999999</v>
      </c>
      <c r="Q58" s="412">
        <v>0.32800000000000001</v>
      </c>
      <c r="R58" s="451">
        <v>21</v>
      </c>
      <c r="S58" s="445"/>
      <c r="T58" s="421">
        <v>39</v>
      </c>
      <c r="U58" s="445"/>
      <c r="V58" s="494">
        <v>0</v>
      </c>
    </row>
    <row r="59" spans="1:22" ht="15.75" customHeight="1" thickBot="1" x14ac:dyDescent="0.3">
      <c r="A59" s="637"/>
      <c r="B59" s="541">
        <v>139</v>
      </c>
      <c r="C59" s="540" t="s">
        <v>253</v>
      </c>
      <c r="D59" s="541" t="s">
        <v>14</v>
      </c>
      <c r="E59" s="541">
        <v>33</v>
      </c>
      <c r="F59" s="546">
        <v>1.0408850000000001</v>
      </c>
      <c r="G59" s="547"/>
      <c r="H59" s="550">
        <v>25</v>
      </c>
      <c r="I59" s="604"/>
      <c r="J59" s="633"/>
      <c r="K59" s="633"/>
      <c r="L59" s="630"/>
      <c r="M59" s="630"/>
      <c r="N59" s="691"/>
      <c r="O59" s="2"/>
      <c r="P59" s="412">
        <v>0.36599999999999999</v>
      </c>
      <c r="Q59" s="412">
        <v>0.32800000000000001</v>
      </c>
      <c r="R59" s="451">
        <v>21</v>
      </c>
      <c r="S59" s="445"/>
      <c r="T59" s="421">
        <v>39</v>
      </c>
      <c r="U59" s="445"/>
      <c r="V59" s="494">
        <v>0</v>
      </c>
    </row>
    <row r="60" spans="1:22" ht="15.75" customHeight="1" thickBot="1" x14ac:dyDescent="0.3">
      <c r="A60" s="637"/>
      <c r="B60" s="522">
        <v>139.1</v>
      </c>
      <c r="C60" s="391" t="s">
        <v>302</v>
      </c>
      <c r="D60" s="392" t="s">
        <v>14</v>
      </c>
      <c r="E60" s="392">
        <v>132</v>
      </c>
      <c r="F60" s="393">
        <v>1.0307999999999999</v>
      </c>
      <c r="G60" s="394"/>
      <c r="H60" s="603">
        <v>35</v>
      </c>
      <c r="I60" s="633" t="s">
        <v>308</v>
      </c>
      <c r="J60" s="633"/>
      <c r="K60" s="633"/>
      <c r="L60" s="630"/>
      <c r="M60" s="630"/>
      <c r="N60" s="691"/>
      <c r="O60" s="2"/>
      <c r="P60" s="412">
        <v>0.36599999999999999</v>
      </c>
      <c r="Q60" s="412">
        <v>0.32800000000000001</v>
      </c>
      <c r="R60" s="445"/>
      <c r="S60" s="451">
        <v>17</v>
      </c>
      <c r="T60" s="445"/>
      <c r="U60" s="421">
        <v>25</v>
      </c>
      <c r="V60" s="494">
        <v>0</v>
      </c>
    </row>
    <row r="61" spans="1:22" ht="15.75" customHeight="1" thickBot="1" x14ac:dyDescent="0.3">
      <c r="A61" s="637"/>
      <c r="B61" s="522">
        <v>139.19999999999999</v>
      </c>
      <c r="C61" s="391" t="s">
        <v>303</v>
      </c>
      <c r="D61" s="392" t="s">
        <v>14</v>
      </c>
      <c r="E61" s="392">
        <v>132</v>
      </c>
      <c r="F61" s="393">
        <v>1.0309999999999999</v>
      </c>
      <c r="G61" s="394"/>
      <c r="H61" s="603">
        <v>40</v>
      </c>
      <c r="I61" s="633"/>
      <c r="J61" s="633"/>
      <c r="K61" s="633"/>
      <c r="L61" s="630"/>
      <c r="M61" s="630"/>
      <c r="N61" s="691"/>
      <c r="O61" s="2"/>
      <c r="P61" s="412">
        <v>0.36599999999999999</v>
      </c>
      <c r="Q61" s="412">
        <v>0.32800000000000001</v>
      </c>
      <c r="R61" s="445"/>
      <c r="S61" s="451">
        <v>17</v>
      </c>
      <c r="T61" s="445"/>
      <c r="U61" s="421">
        <v>25</v>
      </c>
      <c r="V61" s="494">
        <v>0</v>
      </c>
    </row>
    <row r="62" spans="1:22" ht="15.75" customHeight="1" thickBot="1" x14ac:dyDescent="0.3">
      <c r="A62" s="637"/>
      <c r="B62" s="522">
        <v>139.30000000000001</v>
      </c>
      <c r="C62" s="391" t="s">
        <v>304</v>
      </c>
      <c r="D62" s="392" t="s">
        <v>14</v>
      </c>
      <c r="E62" s="392">
        <v>33</v>
      </c>
      <c r="F62" s="393">
        <v>1.0573999999999999</v>
      </c>
      <c r="G62" s="394"/>
      <c r="H62" s="603">
        <v>12</v>
      </c>
      <c r="I62" s="633"/>
      <c r="J62" s="633"/>
      <c r="K62" s="633"/>
      <c r="L62" s="630"/>
      <c r="M62" s="630"/>
      <c r="N62" s="691"/>
      <c r="O62" s="2"/>
      <c r="P62" s="412">
        <v>0.36599999999999999</v>
      </c>
      <c r="Q62" s="412">
        <v>0.32800000000000001</v>
      </c>
      <c r="R62" s="445"/>
      <c r="S62" s="451">
        <v>17</v>
      </c>
      <c r="T62" s="445"/>
      <c r="U62" s="421">
        <v>25</v>
      </c>
      <c r="V62" s="494">
        <v>0</v>
      </c>
    </row>
    <row r="63" spans="1:22" ht="15.75" customHeight="1" thickBot="1" x14ac:dyDescent="0.3">
      <c r="A63" s="637"/>
      <c r="B63" s="522">
        <v>139.4</v>
      </c>
      <c r="C63" s="391" t="s">
        <v>305</v>
      </c>
      <c r="D63" s="392" t="s">
        <v>14</v>
      </c>
      <c r="E63" s="392">
        <v>33</v>
      </c>
      <c r="F63" s="393">
        <v>1.0557000000000001</v>
      </c>
      <c r="G63" s="394"/>
      <c r="H63" s="603">
        <v>12</v>
      </c>
      <c r="I63" s="633"/>
      <c r="J63" s="633"/>
      <c r="K63" s="633"/>
      <c r="L63" s="630"/>
      <c r="M63" s="630"/>
      <c r="N63" s="691"/>
      <c r="O63" s="2"/>
      <c r="P63" s="412">
        <v>0.36599999999999999</v>
      </c>
      <c r="Q63" s="412">
        <v>0.32800000000000001</v>
      </c>
      <c r="R63" s="445"/>
      <c r="S63" s="451">
        <v>17</v>
      </c>
      <c r="T63" s="445"/>
      <c r="U63" s="421">
        <v>25</v>
      </c>
      <c r="V63" s="494">
        <v>0</v>
      </c>
    </row>
    <row r="64" spans="1:22" ht="15.75" customHeight="1" thickBot="1" x14ac:dyDescent="0.3">
      <c r="A64" s="637"/>
      <c r="B64" s="397">
        <v>140</v>
      </c>
      <c r="C64" s="403" t="s">
        <v>55</v>
      </c>
      <c r="D64" s="397" t="s">
        <v>14</v>
      </c>
      <c r="E64" s="397">
        <v>132</v>
      </c>
      <c r="F64" s="546">
        <v>1.0307999999999999</v>
      </c>
      <c r="G64" s="545"/>
      <c r="H64" s="550">
        <v>70</v>
      </c>
      <c r="I64" s="633"/>
      <c r="J64" s="633"/>
      <c r="K64" s="633"/>
      <c r="L64" s="630"/>
      <c r="M64" s="630"/>
      <c r="N64" s="691"/>
      <c r="O64" s="2"/>
      <c r="P64" s="412">
        <v>0.36599999999999999</v>
      </c>
      <c r="Q64" s="412">
        <v>0.32800000000000001</v>
      </c>
      <c r="R64" s="445"/>
      <c r="S64" s="451">
        <v>17</v>
      </c>
      <c r="T64" s="445"/>
      <c r="U64" s="421">
        <v>25</v>
      </c>
      <c r="V64" s="494">
        <v>0</v>
      </c>
    </row>
    <row r="65" spans="1:22" ht="15.75" thickBot="1" x14ac:dyDescent="0.3">
      <c r="A65" s="637"/>
      <c r="B65" s="397">
        <v>141</v>
      </c>
      <c r="C65" s="403" t="s">
        <v>56</v>
      </c>
      <c r="D65" s="397" t="s">
        <v>14</v>
      </c>
      <c r="E65" s="397">
        <v>132</v>
      </c>
      <c r="F65" s="546">
        <v>1.0367</v>
      </c>
      <c r="G65" s="545"/>
      <c r="H65" s="550">
        <v>70</v>
      </c>
      <c r="I65" s="633"/>
      <c r="J65" s="633"/>
      <c r="K65" s="633"/>
      <c r="L65" s="630"/>
      <c r="M65" s="630"/>
      <c r="N65" s="691"/>
      <c r="O65" s="2"/>
      <c r="P65" s="412">
        <v>0.36599999999999999</v>
      </c>
      <c r="Q65" s="412">
        <v>0.32800000000000001</v>
      </c>
      <c r="R65" s="445"/>
      <c r="S65" s="451">
        <v>17</v>
      </c>
      <c r="T65" s="445"/>
      <c r="U65" s="421">
        <v>25</v>
      </c>
      <c r="V65" s="494">
        <v>0</v>
      </c>
    </row>
    <row r="66" spans="1:22" ht="15.75" thickBot="1" x14ac:dyDescent="0.3">
      <c r="A66" s="637"/>
      <c r="B66" s="397">
        <v>142</v>
      </c>
      <c r="C66" s="403" t="s">
        <v>56</v>
      </c>
      <c r="D66" s="397" t="s">
        <v>14</v>
      </c>
      <c r="E66" s="397">
        <v>500</v>
      </c>
      <c r="F66" s="523">
        <v>1.03277</v>
      </c>
      <c r="G66" s="548"/>
      <c r="H66" s="550">
        <v>400</v>
      </c>
      <c r="I66" s="604"/>
      <c r="J66" s="633"/>
      <c r="K66" s="633"/>
      <c r="L66" s="630"/>
      <c r="M66" s="630"/>
      <c r="N66" s="691"/>
      <c r="O66" s="2"/>
      <c r="P66" s="412">
        <v>0.36599999999999999</v>
      </c>
      <c r="Q66" s="412">
        <v>0.32800000000000001</v>
      </c>
      <c r="R66" s="445"/>
      <c r="S66" s="451">
        <v>17</v>
      </c>
      <c r="T66" s="445"/>
      <c r="U66" s="421">
        <v>25</v>
      </c>
      <c r="V66" s="494">
        <v>0</v>
      </c>
    </row>
    <row r="67" spans="1:22" ht="15.75" customHeight="1" thickBot="1" x14ac:dyDescent="0.3">
      <c r="A67" s="637"/>
      <c r="B67" s="397">
        <v>143</v>
      </c>
      <c r="C67" s="403" t="s">
        <v>57</v>
      </c>
      <c r="D67" s="397" t="s">
        <v>14</v>
      </c>
      <c r="E67" s="397">
        <v>132</v>
      </c>
      <c r="F67" s="523">
        <v>1.02363</v>
      </c>
      <c r="G67" s="545"/>
      <c r="H67" s="550">
        <v>0</v>
      </c>
      <c r="I67" s="600"/>
      <c r="J67" s="633" t="s">
        <v>255</v>
      </c>
      <c r="K67" s="633"/>
      <c r="L67" s="630"/>
      <c r="M67" s="630"/>
      <c r="N67" s="691"/>
      <c r="O67" s="2"/>
      <c r="P67" s="412">
        <v>0.36599999999999999</v>
      </c>
      <c r="Q67" s="412">
        <v>0.32800000000000001</v>
      </c>
      <c r="R67" s="445"/>
      <c r="S67" s="451">
        <v>17</v>
      </c>
      <c r="T67" s="445"/>
      <c r="U67" s="421">
        <v>25</v>
      </c>
      <c r="V67" s="494">
        <v>0</v>
      </c>
    </row>
    <row r="68" spans="1:22" ht="15" customHeight="1" thickBot="1" x14ac:dyDescent="0.3">
      <c r="A68" s="637"/>
      <c r="B68" s="397">
        <v>144</v>
      </c>
      <c r="C68" s="403" t="s">
        <v>58</v>
      </c>
      <c r="D68" s="397" t="s">
        <v>14</v>
      </c>
      <c r="E68" s="397">
        <v>132</v>
      </c>
      <c r="F68" s="523">
        <v>1.04016</v>
      </c>
      <c r="G68" s="635" t="s">
        <v>256</v>
      </c>
      <c r="H68" s="550">
        <v>170</v>
      </c>
      <c r="I68" s="633" t="s">
        <v>59</v>
      </c>
      <c r="J68" s="633"/>
      <c r="K68" s="633"/>
      <c r="L68" s="630"/>
      <c r="M68" s="630"/>
      <c r="N68" s="691"/>
      <c r="O68" s="2"/>
      <c r="P68" s="412">
        <v>0.36599999999999999</v>
      </c>
      <c r="Q68" s="412">
        <v>0.32800000000000001</v>
      </c>
      <c r="R68" s="445"/>
      <c r="S68" s="451">
        <v>17</v>
      </c>
      <c r="T68" s="445"/>
      <c r="U68" s="421">
        <v>25</v>
      </c>
      <c r="V68" s="494">
        <v>0</v>
      </c>
    </row>
    <row r="69" spans="1:22" x14ac:dyDescent="0.25">
      <c r="A69" s="637"/>
      <c r="B69" s="397">
        <v>145</v>
      </c>
      <c r="C69" s="403" t="s">
        <v>60</v>
      </c>
      <c r="D69" s="397" t="s">
        <v>14</v>
      </c>
      <c r="E69" s="397">
        <v>132</v>
      </c>
      <c r="F69" s="523">
        <v>1.038</v>
      </c>
      <c r="G69" s="635"/>
      <c r="H69" s="550">
        <v>170</v>
      </c>
      <c r="I69" s="633"/>
      <c r="J69" s="633"/>
      <c r="K69" s="633"/>
      <c r="L69" s="630"/>
      <c r="M69" s="630"/>
      <c r="N69" s="691"/>
      <c r="O69" s="2"/>
      <c r="P69" s="412">
        <v>0.36599999999999999</v>
      </c>
      <c r="Q69" s="412">
        <v>0.32800000000000001</v>
      </c>
      <c r="R69" s="445"/>
      <c r="S69" s="451">
        <v>17</v>
      </c>
      <c r="T69" s="445"/>
      <c r="U69" s="421">
        <v>25</v>
      </c>
      <c r="V69" s="494">
        <v>0</v>
      </c>
    </row>
    <row r="70" spans="1:22" ht="15.75" thickBot="1" x14ac:dyDescent="0.3">
      <c r="A70" s="637"/>
      <c r="B70" s="397"/>
      <c r="C70" s="403"/>
      <c r="D70" s="397"/>
      <c r="E70" s="397"/>
      <c r="F70" s="523"/>
      <c r="G70" s="635"/>
      <c r="H70" s="550"/>
      <c r="I70" s="633"/>
      <c r="J70" s="633"/>
      <c r="K70" s="633"/>
      <c r="L70" s="630"/>
      <c r="M70" s="630"/>
      <c r="N70" s="691"/>
      <c r="O70" s="2"/>
      <c r="P70" s="417" t="s">
        <v>125</v>
      </c>
      <c r="Q70" s="491" t="s">
        <v>125</v>
      </c>
      <c r="R70" s="445"/>
      <c r="S70" s="445"/>
      <c r="T70" s="445"/>
      <c r="U70" s="445"/>
      <c r="V70" s="494">
        <v>0</v>
      </c>
    </row>
    <row r="71" spans="1:22" ht="16.5" customHeight="1" thickBot="1" x14ac:dyDescent="0.3">
      <c r="A71" s="637"/>
      <c r="B71" s="397">
        <v>146</v>
      </c>
      <c r="C71" s="403" t="s">
        <v>61</v>
      </c>
      <c r="D71" s="397" t="s">
        <v>14</v>
      </c>
      <c r="E71" s="397">
        <v>220</v>
      </c>
      <c r="F71" s="523">
        <v>1.0369999999999999</v>
      </c>
      <c r="G71" s="397"/>
      <c r="H71" s="550">
        <v>600</v>
      </c>
      <c r="I71" s="594"/>
      <c r="J71" s="633"/>
      <c r="K71" s="633"/>
      <c r="L71" s="630"/>
      <c r="M71" s="630"/>
      <c r="N71" s="691"/>
      <c r="O71" s="2"/>
      <c r="P71" s="412">
        <v>0.36599999999999999</v>
      </c>
      <c r="Q71" s="412">
        <v>0.32800000000000001</v>
      </c>
      <c r="R71" s="451">
        <v>21</v>
      </c>
      <c r="S71" s="445"/>
      <c r="T71" s="421">
        <v>39</v>
      </c>
      <c r="U71" s="492"/>
      <c r="V71" s="494">
        <v>0</v>
      </c>
    </row>
    <row r="72" spans="1:22" ht="15.75" thickBot="1" x14ac:dyDescent="0.3">
      <c r="A72" s="637"/>
      <c r="B72" s="397">
        <v>147</v>
      </c>
      <c r="C72" s="403" t="s">
        <v>62</v>
      </c>
      <c r="D72" s="397" t="s">
        <v>14</v>
      </c>
      <c r="E72" s="397">
        <v>500</v>
      </c>
      <c r="F72" s="523">
        <v>1.032</v>
      </c>
      <c r="G72" s="397"/>
      <c r="H72" s="550">
        <v>300</v>
      </c>
      <c r="I72" s="593"/>
      <c r="J72" s="633"/>
      <c r="K72" s="633"/>
      <c r="L72" s="630"/>
      <c r="M72" s="630"/>
      <c r="N72" s="691"/>
      <c r="O72" s="2"/>
      <c r="P72" s="412">
        <v>0.36599999999999999</v>
      </c>
      <c r="Q72" s="412">
        <v>0.32800000000000001</v>
      </c>
      <c r="R72" s="451">
        <v>21</v>
      </c>
      <c r="S72" s="445"/>
      <c r="T72" s="421">
        <v>39</v>
      </c>
      <c r="U72" s="445"/>
      <c r="V72" s="494">
        <v>0</v>
      </c>
    </row>
    <row r="73" spans="1:22" ht="15" customHeight="1" thickBot="1" x14ac:dyDescent="0.3">
      <c r="A73" s="637"/>
      <c r="B73" s="397">
        <v>160</v>
      </c>
      <c r="C73" s="403" t="s">
        <v>63</v>
      </c>
      <c r="D73" s="397" t="s">
        <v>14</v>
      </c>
      <c r="E73" s="397">
        <v>132</v>
      </c>
      <c r="F73" s="523">
        <v>1.0369999999999999</v>
      </c>
      <c r="G73" s="403"/>
      <c r="H73" s="550">
        <v>100</v>
      </c>
      <c r="I73" s="633" t="s">
        <v>64</v>
      </c>
      <c r="J73" s="633" t="s">
        <v>65</v>
      </c>
      <c r="K73" s="633"/>
      <c r="L73" s="630"/>
      <c r="M73" s="630"/>
      <c r="N73" s="691"/>
      <c r="O73" s="2"/>
      <c r="P73" s="412">
        <v>0.379</v>
      </c>
      <c r="Q73" s="412">
        <v>0.34100000000000003</v>
      </c>
      <c r="R73" s="451">
        <v>21</v>
      </c>
      <c r="S73" s="445"/>
      <c r="T73" s="421">
        <v>39</v>
      </c>
      <c r="U73" s="445"/>
      <c r="V73" s="494">
        <v>0</v>
      </c>
    </row>
    <row r="74" spans="1:22" ht="15.75" thickBot="1" x14ac:dyDescent="0.3">
      <c r="A74" s="637"/>
      <c r="B74" s="397">
        <v>161</v>
      </c>
      <c r="C74" s="403" t="s">
        <v>67</v>
      </c>
      <c r="D74" s="397" t="s">
        <v>14</v>
      </c>
      <c r="E74" s="397">
        <v>132</v>
      </c>
      <c r="F74" s="523">
        <v>1.024</v>
      </c>
      <c r="G74" s="403"/>
      <c r="H74" s="550">
        <v>60</v>
      </c>
      <c r="I74" s="633"/>
      <c r="J74" s="633"/>
      <c r="K74" s="633"/>
      <c r="L74" s="630"/>
      <c r="M74" s="630"/>
      <c r="N74" s="691"/>
      <c r="O74" s="2"/>
      <c r="P74" s="412">
        <v>0.379</v>
      </c>
      <c r="Q74" s="412">
        <v>0.34100000000000003</v>
      </c>
      <c r="R74" s="451">
        <v>21</v>
      </c>
      <c r="S74" s="445"/>
      <c r="T74" s="421">
        <v>39</v>
      </c>
      <c r="U74" s="445"/>
      <c r="V74" s="494">
        <v>0</v>
      </c>
    </row>
    <row r="75" spans="1:22" x14ac:dyDescent="0.25">
      <c r="A75" s="637"/>
      <c r="B75" s="397">
        <v>170</v>
      </c>
      <c r="C75" s="403" t="s">
        <v>68</v>
      </c>
      <c r="D75" s="397" t="s">
        <v>14</v>
      </c>
      <c r="E75" s="397">
        <v>132</v>
      </c>
      <c r="F75" s="523">
        <v>1.024</v>
      </c>
      <c r="G75" s="397"/>
      <c r="H75" s="550">
        <v>200</v>
      </c>
      <c r="I75" s="632"/>
      <c r="J75" s="633"/>
      <c r="K75" s="633"/>
      <c r="L75" s="630"/>
      <c r="M75" s="630"/>
      <c r="N75" s="691"/>
      <c r="O75" s="2"/>
      <c r="P75" s="412">
        <v>0.379</v>
      </c>
      <c r="Q75" s="412">
        <v>0.34100000000000003</v>
      </c>
      <c r="R75" s="451">
        <v>21</v>
      </c>
      <c r="S75" s="445"/>
      <c r="T75" s="421">
        <v>39</v>
      </c>
      <c r="U75" s="445"/>
      <c r="V75" s="494">
        <v>0</v>
      </c>
    </row>
    <row r="76" spans="1:22" ht="15.75" customHeight="1" thickBot="1" x14ac:dyDescent="0.3">
      <c r="A76" s="637"/>
      <c r="B76" s="397"/>
      <c r="C76" s="403"/>
      <c r="D76" s="397"/>
      <c r="E76" s="397"/>
      <c r="F76" s="523"/>
      <c r="G76" s="397"/>
      <c r="H76" s="550"/>
      <c r="I76" s="632"/>
      <c r="J76" s="633"/>
      <c r="K76" s="633"/>
      <c r="L76" s="630"/>
      <c r="M76" s="630"/>
      <c r="N76" s="691"/>
      <c r="O76" s="2"/>
      <c r="P76" s="417" t="s">
        <v>125</v>
      </c>
      <c r="Q76" s="491" t="s">
        <v>125</v>
      </c>
      <c r="R76" s="445"/>
      <c r="S76" s="445"/>
      <c r="T76" s="445"/>
      <c r="U76" s="445"/>
      <c r="V76" s="494">
        <v>0</v>
      </c>
    </row>
    <row r="77" spans="1:22" ht="16.5" customHeight="1" thickBot="1" x14ac:dyDescent="0.3">
      <c r="A77" s="637"/>
      <c r="B77" s="550">
        <v>180</v>
      </c>
      <c r="C77" s="564" t="s">
        <v>69</v>
      </c>
      <c r="D77" s="550" t="s">
        <v>14</v>
      </c>
      <c r="E77" s="550">
        <v>132</v>
      </c>
      <c r="F77" s="576">
        <v>1.038</v>
      </c>
      <c r="G77" s="549" t="s">
        <v>256</v>
      </c>
      <c r="H77" s="550">
        <v>110</v>
      </c>
      <c r="I77" s="633" t="s">
        <v>257</v>
      </c>
      <c r="J77" s="633"/>
      <c r="K77" s="633"/>
      <c r="L77" s="630"/>
      <c r="M77" s="630"/>
      <c r="N77" s="691"/>
      <c r="O77" s="2"/>
      <c r="P77" s="412">
        <v>0.379</v>
      </c>
      <c r="Q77" s="412">
        <v>0.34100000000000003</v>
      </c>
      <c r="R77" s="451">
        <v>21</v>
      </c>
      <c r="S77" s="445"/>
      <c r="T77" s="421">
        <v>39</v>
      </c>
      <c r="U77" s="492"/>
      <c r="V77" s="494">
        <v>0</v>
      </c>
    </row>
    <row r="78" spans="1:22" ht="15.75" thickBot="1" x14ac:dyDescent="0.3">
      <c r="A78" s="637"/>
      <c r="B78" s="550">
        <v>181</v>
      </c>
      <c r="C78" s="564" t="s">
        <v>70</v>
      </c>
      <c r="D78" s="550" t="s">
        <v>14</v>
      </c>
      <c r="E78" s="550">
        <v>132</v>
      </c>
      <c r="F78" s="576">
        <v>1.0369999999999999</v>
      </c>
      <c r="G78" s="550"/>
      <c r="H78" s="550">
        <v>300</v>
      </c>
      <c r="I78" s="633"/>
      <c r="J78" s="633"/>
      <c r="K78" s="633"/>
      <c r="L78" s="630"/>
      <c r="M78" s="630"/>
      <c r="N78" s="691"/>
      <c r="O78" s="2"/>
      <c r="P78" s="412">
        <v>0.379</v>
      </c>
      <c r="Q78" s="412">
        <v>0.34100000000000003</v>
      </c>
      <c r="R78" s="445"/>
      <c r="S78" s="451">
        <v>7</v>
      </c>
      <c r="T78" s="445"/>
      <c r="U78" s="421">
        <v>25</v>
      </c>
      <c r="V78" s="494">
        <v>0</v>
      </c>
    </row>
    <row r="79" spans="1:22" ht="15.75" thickBot="1" x14ac:dyDescent="0.3">
      <c r="A79" s="637"/>
      <c r="B79" s="550">
        <v>182</v>
      </c>
      <c r="C79" s="564" t="s">
        <v>71</v>
      </c>
      <c r="D79" s="550" t="s">
        <v>14</v>
      </c>
      <c r="E79" s="550">
        <v>500</v>
      </c>
      <c r="F79" s="576">
        <v>1.0289999999999999</v>
      </c>
      <c r="G79" s="564"/>
      <c r="H79" s="550">
        <v>300</v>
      </c>
      <c r="I79" s="633"/>
      <c r="J79" s="633"/>
      <c r="K79" s="633"/>
      <c r="L79" s="630"/>
      <c r="M79" s="630"/>
      <c r="N79" s="691"/>
      <c r="O79" s="2"/>
      <c r="P79" s="412">
        <v>0.379</v>
      </c>
      <c r="Q79" s="412">
        <v>0.34100000000000003</v>
      </c>
      <c r="R79" s="445"/>
      <c r="S79" s="451">
        <v>7</v>
      </c>
      <c r="T79" s="445"/>
      <c r="U79" s="421">
        <v>25</v>
      </c>
      <c r="V79" s="494">
        <v>0</v>
      </c>
    </row>
    <row r="80" spans="1:22" ht="16.5" customHeight="1" thickBot="1" x14ac:dyDescent="0.3">
      <c r="A80" s="638"/>
      <c r="B80" s="569">
        <v>183</v>
      </c>
      <c r="C80" s="568" t="s">
        <v>258</v>
      </c>
      <c r="D80" s="569" t="s">
        <v>14</v>
      </c>
      <c r="E80" s="569">
        <v>132</v>
      </c>
      <c r="F80" s="570">
        <v>1.0495000000000001</v>
      </c>
      <c r="G80" s="588"/>
      <c r="H80" s="569">
        <v>150</v>
      </c>
      <c r="I80" s="634"/>
      <c r="J80" s="634"/>
      <c r="K80" s="634"/>
      <c r="L80" s="631"/>
      <c r="M80" s="631"/>
      <c r="N80" s="692"/>
      <c r="O80" s="2"/>
      <c r="P80" s="412">
        <v>0.47799999999999998</v>
      </c>
      <c r="Q80" s="412">
        <v>0.442</v>
      </c>
      <c r="R80" s="495">
        <v>21</v>
      </c>
      <c r="S80" s="447"/>
      <c r="T80" s="430">
        <v>39</v>
      </c>
      <c r="U80" s="447"/>
      <c r="V80" s="496">
        <v>0</v>
      </c>
    </row>
    <row r="81" spans="1:27" ht="15.75" customHeight="1" thickBot="1" x14ac:dyDescent="0.3">
      <c r="A81" s="625" t="s">
        <v>72</v>
      </c>
      <c r="B81" s="589">
        <v>189</v>
      </c>
      <c r="C81" s="582" t="s">
        <v>259</v>
      </c>
      <c r="D81" s="575" t="s">
        <v>14</v>
      </c>
      <c r="E81" s="575">
        <v>132</v>
      </c>
      <c r="F81" s="573">
        <v>1.0167999999999999</v>
      </c>
      <c r="G81" s="582"/>
      <c r="H81" s="575">
        <v>100</v>
      </c>
      <c r="I81" s="627" t="s">
        <v>74</v>
      </c>
      <c r="J81" s="627"/>
      <c r="K81" s="627"/>
      <c r="L81" s="629" t="s">
        <v>72</v>
      </c>
      <c r="M81" s="721" t="s">
        <v>66</v>
      </c>
      <c r="N81" s="722"/>
      <c r="O81" s="2"/>
      <c r="P81" s="412">
        <v>0.76800000000000002</v>
      </c>
      <c r="Q81" s="412">
        <v>0.67200000000000004</v>
      </c>
      <c r="R81" s="443"/>
      <c r="S81" s="449">
        <v>17</v>
      </c>
      <c r="T81" s="443"/>
      <c r="U81" s="450">
        <v>21</v>
      </c>
      <c r="V81" s="503">
        <v>0</v>
      </c>
    </row>
    <row r="82" spans="1:27" ht="15.75" thickBot="1" x14ac:dyDescent="0.3">
      <c r="A82" s="625"/>
      <c r="B82" s="590">
        <v>190</v>
      </c>
      <c r="C82" s="564" t="s">
        <v>73</v>
      </c>
      <c r="D82" s="550" t="s">
        <v>14</v>
      </c>
      <c r="E82" s="550">
        <v>500</v>
      </c>
      <c r="F82" s="576">
        <v>1.0149999999999999</v>
      </c>
      <c r="G82" s="564"/>
      <c r="H82" s="550">
        <v>500</v>
      </c>
      <c r="I82" s="628"/>
      <c r="J82" s="628"/>
      <c r="K82" s="628"/>
      <c r="L82" s="630"/>
      <c r="M82" s="723"/>
      <c r="N82" s="724"/>
      <c r="O82" s="2"/>
      <c r="P82" s="412">
        <v>0.76800000000000002</v>
      </c>
      <c r="Q82" s="412">
        <v>0.67200000000000004</v>
      </c>
      <c r="R82" s="445"/>
      <c r="S82" s="451">
        <v>17</v>
      </c>
      <c r="T82" s="445"/>
      <c r="U82" s="422">
        <v>21</v>
      </c>
      <c r="V82" s="504">
        <v>0</v>
      </c>
    </row>
    <row r="83" spans="1:27" ht="18" customHeight="1" thickBot="1" x14ac:dyDescent="0.3">
      <c r="A83" s="625"/>
      <c r="B83" s="552">
        <v>191</v>
      </c>
      <c r="C83" s="524" t="s">
        <v>75</v>
      </c>
      <c r="D83" s="525" t="s">
        <v>14</v>
      </c>
      <c r="E83" s="525" t="s">
        <v>76</v>
      </c>
      <c r="F83" s="526">
        <v>1.016</v>
      </c>
      <c r="G83" s="527" t="s">
        <v>260</v>
      </c>
      <c r="H83" s="600">
        <v>450</v>
      </c>
      <c r="I83" s="633" t="s">
        <v>261</v>
      </c>
      <c r="J83" s="633" t="s">
        <v>262</v>
      </c>
      <c r="K83" s="633"/>
      <c r="L83" s="630"/>
      <c r="M83" s="723"/>
      <c r="N83" s="724"/>
      <c r="O83" s="2"/>
      <c r="P83" s="412">
        <v>0.57799999999999996</v>
      </c>
      <c r="Q83" s="412">
        <v>0.53800000000000003</v>
      </c>
      <c r="R83" s="445"/>
      <c r="S83" s="451">
        <v>17</v>
      </c>
      <c r="T83" s="445"/>
      <c r="U83" s="422">
        <v>21</v>
      </c>
      <c r="V83" s="504">
        <v>0</v>
      </c>
      <c r="X83" s="732">
        <v>3706.45</v>
      </c>
      <c r="Y83" s="732">
        <v>3650.09</v>
      </c>
      <c r="Z83">
        <f>+X83/Y83</f>
        <v>1.0154407151604481</v>
      </c>
      <c r="AA83">
        <f>+Z83*Q83</f>
        <v>0.54630710475632116</v>
      </c>
    </row>
    <row r="84" spans="1:27" ht="18" customHeight="1" thickBot="1" x14ac:dyDescent="0.3">
      <c r="A84" s="625"/>
      <c r="B84" s="595">
        <v>191.1</v>
      </c>
      <c r="C84" s="596" t="s">
        <v>306</v>
      </c>
      <c r="D84" s="558" t="s">
        <v>14</v>
      </c>
      <c r="E84" s="558">
        <v>132</v>
      </c>
      <c r="F84" s="597">
        <v>0.999</v>
      </c>
      <c r="G84" s="535"/>
      <c r="H84" s="605">
        <v>150</v>
      </c>
      <c r="I84" s="633"/>
      <c r="J84" s="633"/>
      <c r="K84" s="633"/>
      <c r="L84" s="630"/>
      <c r="M84" s="723"/>
      <c r="N84" s="724"/>
      <c r="O84" s="2"/>
      <c r="P84" s="412">
        <v>0.57799999999999996</v>
      </c>
      <c r="Q84" s="412">
        <v>0.53800000000000003</v>
      </c>
      <c r="R84" s="445"/>
      <c r="S84" s="451">
        <v>17</v>
      </c>
      <c r="T84" s="445"/>
      <c r="U84" s="422">
        <v>21</v>
      </c>
      <c r="V84" s="504"/>
    </row>
    <row r="85" spans="1:27" ht="15.75" thickBot="1" x14ac:dyDescent="0.3">
      <c r="A85" s="625"/>
      <c r="B85" s="590">
        <v>192</v>
      </c>
      <c r="C85" s="564" t="s">
        <v>77</v>
      </c>
      <c r="D85" s="550" t="s">
        <v>14</v>
      </c>
      <c r="E85" s="550">
        <v>132</v>
      </c>
      <c r="F85" s="576">
        <v>0.999</v>
      </c>
      <c r="G85" s="564"/>
      <c r="H85" s="550">
        <v>150</v>
      </c>
      <c r="I85" s="633"/>
      <c r="J85" s="633"/>
      <c r="K85" s="633"/>
      <c r="L85" s="630"/>
      <c r="M85" s="723"/>
      <c r="N85" s="724"/>
      <c r="O85" s="2"/>
      <c r="P85" s="412">
        <v>0.57799999999999996</v>
      </c>
      <c r="Q85" s="412">
        <v>0.53800000000000003</v>
      </c>
      <c r="R85" s="445"/>
      <c r="S85" s="451">
        <v>17</v>
      </c>
      <c r="T85" s="445"/>
      <c r="U85" s="422">
        <v>21</v>
      </c>
      <c r="V85" s="504">
        <v>0</v>
      </c>
    </row>
    <row r="86" spans="1:27" ht="15.75" thickBot="1" x14ac:dyDescent="0.3">
      <c r="A86" s="625"/>
      <c r="B86" s="590">
        <v>192.1</v>
      </c>
      <c r="C86" s="564" t="s">
        <v>263</v>
      </c>
      <c r="D86" s="550" t="s">
        <v>14</v>
      </c>
      <c r="E86" s="550">
        <v>132</v>
      </c>
      <c r="F86" s="591">
        <v>1.0049699999999999</v>
      </c>
      <c r="G86" s="592"/>
      <c r="H86" s="550">
        <v>0</v>
      </c>
      <c r="I86" s="633"/>
      <c r="J86" s="633"/>
      <c r="K86" s="633"/>
      <c r="L86" s="630"/>
      <c r="M86" s="723"/>
      <c r="N86" s="724"/>
      <c r="O86" s="2"/>
      <c r="P86" s="412">
        <v>0.59099999999999997</v>
      </c>
      <c r="Q86" s="412">
        <v>0.55000000000000004</v>
      </c>
      <c r="R86" s="419">
        <v>21</v>
      </c>
      <c r="S86" s="445"/>
      <c r="T86" s="421">
        <v>39</v>
      </c>
      <c r="U86" s="453"/>
      <c r="V86" s="504">
        <v>0</v>
      </c>
    </row>
    <row r="87" spans="1:27" ht="15.75" thickBot="1" x14ac:dyDescent="0.3">
      <c r="A87" s="625"/>
      <c r="B87" s="590">
        <v>192.2</v>
      </c>
      <c r="C87" s="564" t="s">
        <v>263</v>
      </c>
      <c r="D87" s="550" t="s">
        <v>14</v>
      </c>
      <c r="E87" s="550" t="s">
        <v>231</v>
      </c>
      <c r="F87" s="591">
        <v>1.0049699999999999</v>
      </c>
      <c r="G87" s="592"/>
      <c r="H87" s="550">
        <v>0</v>
      </c>
      <c r="I87" s="633"/>
      <c r="J87" s="633"/>
      <c r="K87" s="633"/>
      <c r="L87" s="630"/>
      <c r="M87" s="723"/>
      <c r="N87" s="724"/>
      <c r="O87" s="2"/>
      <c r="P87" s="412">
        <v>0.59099999999999997</v>
      </c>
      <c r="Q87" s="412">
        <v>0.55000000000000004</v>
      </c>
      <c r="R87" s="419">
        <v>21</v>
      </c>
      <c r="S87" s="445"/>
      <c r="T87" s="421">
        <v>39</v>
      </c>
      <c r="U87" s="453"/>
      <c r="V87" s="504">
        <v>0</v>
      </c>
    </row>
    <row r="88" spans="1:27" ht="15.75" customHeight="1" thickBot="1" x14ac:dyDescent="0.3">
      <c r="A88" s="625"/>
      <c r="B88" s="590">
        <v>192.3</v>
      </c>
      <c r="C88" s="593" t="s">
        <v>264</v>
      </c>
      <c r="D88" s="594" t="s">
        <v>14</v>
      </c>
      <c r="E88" s="594" t="s">
        <v>231</v>
      </c>
      <c r="F88" s="591">
        <v>1.0066999999999999</v>
      </c>
      <c r="G88" s="593"/>
      <c r="H88" s="594">
        <v>4</v>
      </c>
      <c r="I88" s="633"/>
      <c r="J88" s="633"/>
      <c r="K88" s="633"/>
      <c r="L88" s="630"/>
      <c r="M88" s="723"/>
      <c r="N88" s="724"/>
      <c r="O88" s="2"/>
      <c r="P88" s="412">
        <v>0.59099999999999997</v>
      </c>
      <c r="Q88" s="412">
        <v>0.55000000000000004</v>
      </c>
      <c r="R88" s="419">
        <v>21</v>
      </c>
      <c r="S88" s="445"/>
      <c r="T88" s="421">
        <v>39</v>
      </c>
      <c r="U88" s="453"/>
      <c r="V88" s="504">
        <v>0</v>
      </c>
    </row>
    <row r="89" spans="1:27" ht="15.75" customHeight="1" x14ac:dyDescent="0.25">
      <c r="A89" s="625"/>
      <c r="B89" s="590">
        <v>193</v>
      </c>
      <c r="C89" s="564" t="s">
        <v>78</v>
      </c>
      <c r="D89" s="550" t="s">
        <v>14</v>
      </c>
      <c r="E89" s="550">
        <v>132</v>
      </c>
      <c r="F89" s="576">
        <v>0.99980000000000002</v>
      </c>
      <c r="G89" s="550"/>
      <c r="H89" s="550">
        <v>80</v>
      </c>
      <c r="I89" s="606"/>
      <c r="J89" s="633"/>
      <c r="K89" s="633"/>
      <c r="L89" s="630"/>
      <c r="M89" s="723"/>
      <c r="N89" s="724"/>
      <c r="O89" s="2"/>
      <c r="P89" s="412">
        <v>0.47799999999999998</v>
      </c>
      <c r="Q89" s="412">
        <v>0.442</v>
      </c>
      <c r="R89" s="445"/>
      <c r="S89" s="451">
        <v>23</v>
      </c>
      <c r="T89" s="445"/>
      <c r="U89" s="422">
        <v>28</v>
      </c>
      <c r="V89" s="504">
        <v>0</v>
      </c>
    </row>
    <row r="90" spans="1:27" x14ac:dyDescent="0.25">
      <c r="A90" s="625"/>
      <c r="B90" s="590"/>
      <c r="C90" s="564"/>
      <c r="D90" s="550"/>
      <c r="E90" s="550"/>
      <c r="F90" s="576"/>
      <c r="G90" s="550"/>
      <c r="H90" s="550"/>
      <c r="I90" s="606"/>
      <c r="J90" s="633"/>
      <c r="K90" s="633"/>
      <c r="L90" s="630"/>
      <c r="M90" s="723"/>
      <c r="N90" s="724"/>
      <c r="O90" s="2"/>
      <c r="P90" s="417" t="s">
        <v>125</v>
      </c>
      <c r="Q90" s="418" t="s">
        <v>125</v>
      </c>
      <c r="R90" s="452"/>
      <c r="S90" s="445"/>
      <c r="T90" s="445"/>
      <c r="U90" s="453"/>
      <c r="V90" s="504">
        <v>0</v>
      </c>
    </row>
    <row r="91" spans="1:27" x14ac:dyDescent="0.25">
      <c r="A91" s="625"/>
      <c r="B91" s="590">
        <v>200</v>
      </c>
      <c r="C91" s="564" t="s">
        <v>79</v>
      </c>
      <c r="D91" s="550" t="s">
        <v>14</v>
      </c>
      <c r="E91" s="550">
        <v>500</v>
      </c>
      <c r="F91" s="576">
        <v>1.0067999999999999</v>
      </c>
      <c r="G91" s="564"/>
      <c r="H91" s="550">
        <v>850</v>
      </c>
      <c r="I91" s="606"/>
      <c r="J91" s="633"/>
      <c r="K91" s="633"/>
      <c r="L91" s="630"/>
      <c r="M91" s="723"/>
      <c r="N91" s="724"/>
      <c r="O91" s="2"/>
      <c r="P91" s="417">
        <v>0.47820397729866237</v>
      </c>
      <c r="Q91" s="418">
        <v>0.44228555198839559</v>
      </c>
      <c r="R91" s="419">
        <v>21</v>
      </c>
      <c r="S91" s="445"/>
      <c r="T91" s="421">
        <v>39</v>
      </c>
      <c r="U91" s="453"/>
      <c r="V91" s="504">
        <v>0</v>
      </c>
    </row>
    <row r="92" spans="1:27" ht="15.75" customHeight="1" x14ac:dyDescent="0.25">
      <c r="A92" s="625"/>
      <c r="B92" s="590">
        <v>208</v>
      </c>
      <c r="C92" s="593" t="s">
        <v>265</v>
      </c>
      <c r="D92" s="594" t="s">
        <v>14</v>
      </c>
      <c r="E92" s="594">
        <v>33</v>
      </c>
      <c r="F92" s="591">
        <v>1.0039</v>
      </c>
      <c r="G92" s="594"/>
      <c r="H92" s="594">
        <v>12</v>
      </c>
      <c r="I92" s="644" t="s">
        <v>266</v>
      </c>
      <c r="J92" s="633" t="s">
        <v>267</v>
      </c>
      <c r="K92" s="633"/>
      <c r="L92" s="630"/>
      <c r="M92" s="723"/>
      <c r="N92" s="724"/>
      <c r="O92" s="2"/>
      <c r="P92" s="417">
        <v>0.59055767725487596</v>
      </c>
      <c r="Q92" s="418">
        <v>0.55001377836610543</v>
      </c>
      <c r="R92" s="419">
        <v>21</v>
      </c>
      <c r="S92" s="454"/>
      <c r="T92" s="421">
        <v>39</v>
      </c>
      <c r="U92" s="455"/>
      <c r="V92" s="504">
        <v>0</v>
      </c>
    </row>
    <row r="93" spans="1:27" x14ac:dyDescent="0.25">
      <c r="A93" s="625"/>
      <c r="B93" s="590">
        <v>209</v>
      </c>
      <c r="C93" s="593" t="s">
        <v>268</v>
      </c>
      <c r="D93" s="594" t="s">
        <v>14</v>
      </c>
      <c r="E93" s="594">
        <v>33</v>
      </c>
      <c r="F93" s="591">
        <v>0.99180000000000001</v>
      </c>
      <c r="G93" s="594"/>
      <c r="H93" s="594">
        <v>12</v>
      </c>
      <c r="I93" s="644"/>
      <c r="J93" s="633"/>
      <c r="K93" s="633"/>
      <c r="L93" s="630"/>
      <c r="M93" s="723"/>
      <c r="N93" s="724"/>
      <c r="O93" s="2"/>
      <c r="P93" s="417">
        <v>0.59055767725487596</v>
      </c>
      <c r="Q93" s="418">
        <v>0.55001377836610543</v>
      </c>
      <c r="R93" s="419">
        <v>21</v>
      </c>
      <c r="S93" s="454"/>
      <c r="T93" s="421">
        <v>39</v>
      </c>
      <c r="U93" s="455"/>
      <c r="V93" s="504">
        <v>0</v>
      </c>
    </row>
    <row r="94" spans="1:27" x14ac:dyDescent="0.25">
      <c r="A94" s="625"/>
      <c r="B94" s="590">
        <v>210</v>
      </c>
      <c r="C94" s="564" t="s">
        <v>80</v>
      </c>
      <c r="D94" s="550" t="s">
        <v>81</v>
      </c>
      <c r="E94" s="550">
        <v>132</v>
      </c>
      <c r="F94" s="576">
        <v>1.003925</v>
      </c>
      <c r="G94" s="564"/>
      <c r="H94" s="550">
        <v>200</v>
      </c>
      <c r="I94" s="644"/>
      <c r="J94" s="633"/>
      <c r="K94" s="633"/>
      <c r="L94" s="630"/>
      <c r="M94" s="723"/>
      <c r="N94" s="724"/>
      <c r="O94" s="117"/>
      <c r="P94" s="417">
        <v>0.59055767725487596</v>
      </c>
      <c r="Q94" s="418">
        <v>0.55001377836610543</v>
      </c>
      <c r="R94" s="419">
        <v>21</v>
      </c>
      <c r="S94" s="445"/>
      <c r="T94" s="421">
        <v>39</v>
      </c>
      <c r="U94" s="455"/>
      <c r="V94" s="504">
        <v>0</v>
      </c>
    </row>
    <row r="95" spans="1:27" s="117" customFormat="1" x14ac:dyDescent="0.25">
      <c r="A95" s="625"/>
      <c r="B95" s="590">
        <v>211</v>
      </c>
      <c r="C95" s="564" t="s">
        <v>82</v>
      </c>
      <c r="D95" s="550" t="s">
        <v>14</v>
      </c>
      <c r="E95" s="550">
        <v>132</v>
      </c>
      <c r="F95" s="576">
        <v>1</v>
      </c>
      <c r="G95" s="564"/>
      <c r="H95" s="550">
        <v>250</v>
      </c>
      <c r="I95" s="644"/>
      <c r="J95" s="633"/>
      <c r="K95" s="633"/>
      <c r="L95" s="630"/>
      <c r="M95" s="723"/>
      <c r="N95" s="724"/>
      <c r="O95"/>
      <c r="P95" s="417">
        <v>0.59055767725487596</v>
      </c>
      <c r="Q95" s="418">
        <v>0.55001377836610543</v>
      </c>
      <c r="R95" s="419">
        <v>21</v>
      </c>
      <c r="S95" s="445"/>
      <c r="T95" s="421">
        <v>39</v>
      </c>
      <c r="U95" s="455"/>
      <c r="V95" s="504">
        <v>0</v>
      </c>
      <c r="W95"/>
      <c r="X95"/>
      <c r="Y95"/>
    </row>
    <row r="96" spans="1:27" x14ac:dyDescent="0.25">
      <c r="A96" s="625"/>
      <c r="B96" s="590">
        <v>212</v>
      </c>
      <c r="C96" s="564" t="s">
        <v>83</v>
      </c>
      <c r="D96" s="550" t="s">
        <v>14</v>
      </c>
      <c r="E96" s="550">
        <v>500</v>
      </c>
      <c r="F96" s="576">
        <v>1</v>
      </c>
      <c r="G96" s="564"/>
      <c r="H96" s="550">
        <v>1600</v>
      </c>
      <c r="I96" s="606"/>
      <c r="J96" s="633"/>
      <c r="K96" s="633"/>
      <c r="L96" s="630"/>
      <c r="M96" s="723"/>
      <c r="N96" s="724"/>
      <c r="P96" s="417">
        <v>0.59055767725487596</v>
      </c>
      <c r="Q96" s="418">
        <v>0.55001377836610543</v>
      </c>
      <c r="R96" s="419">
        <v>21</v>
      </c>
      <c r="S96" s="445"/>
      <c r="T96" s="421">
        <v>39</v>
      </c>
      <c r="U96" s="455"/>
      <c r="V96" s="504">
        <v>0</v>
      </c>
      <c r="Y96" s="117"/>
    </row>
    <row r="97" spans="1:25" ht="15.75" customHeight="1" x14ac:dyDescent="0.25">
      <c r="A97" s="625"/>
      <c r="B97" s="595">
        <v>214</v>
      </c>
      <c r="C97" s="391" t="s">
        <v>307</v>
      </c>
      <c r="D97" s="392" t="s">
        <v>14</v>
      </c>
      <c r="E97" s="392">
        <v>132</v>
      </c>
      <c r="F97" s="393">
        <v>1.0065</v>
      </c>
      <c r="G97" s="391"/>
      <c r="H97" s="603">
        <v>100</v>
      </c>
      <c r="I97" s="633" t="s">
        <v>270</v>
      </c>
      <c r="J97" s="633"/>
      <c r="K97" s="633"/>
      <c r="L97" s="630"/>
      <c r="M97" s="723"/>
      <c r="N97" s="724"/>
      <c r="P97" s="417">
        <v>0.76770689104270962</v>
      </c>
      <c r="Q97" s="418">
        <v>0.67242822147497838</v>
      </c>
      <c r="R97" s="419">
        <v>21</v>
      </c>
      <c r="S97" s="445"/>
      <c r="T97" s="421">
        <v>39</v>
      </c>
      <c r="U97" s="455"/>
      <c r="V97" s="504">
        <v>0</v>
      </c>
      <c r="Y97" s="117"/>
    </row>
    <row r="98" spans="1:25" ht="15" customHeight="1" x14ac:dyDescent="0.25">
      <c r="A98" s="625"/>
      <c r="B98" s="590">
        <v>215</v>
      </c>
      <c r="C98" s="564" t="s">
        <v>269</v>
      </c>
      <c r="D98" s="550" t="s">
        <v>14</v>
      </c>
      <c r="E98" s="550">
        <v>132</v>
      </c>
      <c r="F98" s="576">
        <v>0.98985999999999996</v>
      </c>
      <c r="G98" s="564"/>
      <c r="H98" s="550">
        <v>0</v>
      </c>
      <c r="I98" s="633"/>
      <c r="J98" s="633"/>
      <c r="K98" s="633"/>
      <c r="L98" s="630"/>
      <c r="M98" s="723"/>
      <c r="N98" s="724"/>
      <c r="P98" s="417">
        <v>0.76770689104270962</v>
      </c>
      <c r="Q98" s="418">
        <v>0.67242822147497838</v>
      </c>
      <c r="R98" s="419">
        <v>21</v>
      </c>
      <c r="S98" s="445"/>
      <c r="T98" s="421">
        <v>39</v>
      </c>
      <c r="U98" s="455"/>
      <c r="V98" s="504">
        <v>0</v>
      </c>
    </row>
    <row r="99" spans="1:25" x14ac:dyDescent="0.25">
      <c r="A99" s="625"/>
      <c r="B99" s="590">
        <v>216</v>
      </c>
      <c r="C99" s="564" t="s">
        <v>271</v>
      </c>
      <c r="D99" s="550" t="s">
        <v>14</v>
      </c>
      <c r="E99" s="550" t="s">
        <v>231</v>
      </c>
      <c r="F99" s="576">
        <v>1.0002</v>
      </c>
      <c r="G99" s="564"/>
      <c r="H99" s="550">
        <v>14</v>
      </c>
      <c r="I99" s="633"/>
      <c r="J99" s="633"/>
      <c r="K99" s="633"/>
      <c r="L99" s="630"/>
      <c r="M99" s="723"/>
      <c r="N99" s="724"/>
      <c r="P99" s="417">
        <v>0.76770689104270962</v>
      </c>
      <c r="Q99" s="418">
        <v>0.67242822147497838</v>
      </c>
      <c r="R99" s="419">
        <v>21</v>
      </c>
      <c r="S99" s="445"/>
      <c r="T99" s="421">
        <v>39</v>
      </c>
      <c r="U99" s="455"/>
      <c r="V99" s="504">
        <v>0</v>
      </c>
      <c r="X99" s="117"/>
    </row>
    <row r="100" spans="1:25" x14ac:dyDescent="0.25">
      <c r="A100" s="625"/>
      <c r="B100" s="590">
        <v>217</v>
      </c>
      <c r="C100" s="564" t="s">
        <v>272</v>
      </c>
      <c r="D100" s="550" t="s">
        <v>14</v>
      </c>
      <c r="E100" s="550" t="s">
        <v>231</v>
      </c>
      <c r="F100" s="576">
        <v>0.9899</v>
      </c>
      <c r="G100" s="564"/>
      <c r="H100" s="550">
        <v>14</v>
      </c>
      <c r="I100" s="633"/>
      <c r="J100" s="633"/>
      <c r="K100" s="633"/>
      <c r="L100" s="630"/>
      <c r="M100" s="723"/>
      <c r="N100" s="724"/>
      <c r="P100" s="417">
        <v>0.76770689104270962</v>
      </c>
      <c r="Q100" s="418">
        <v>0.67242822147497838</v>
      </c>
      <c r="R100" s="419">
        <v>21</v>
      </c>
      <c r="S100" s="445"/>
      <c r="T100" s="421">
        <v>39</v>
      </c>
      <c r="U100" s="455"/>
      <c r="V100" s="504">
        <v>0</v>
      </c>
    </row>
    <row r="101" spans="1:25" x14ac:dyDescent="0.25">
      <c r="A101" s="625"/>
      <c r="B101" s="590">
        <v>218</v>
      </c>
      <c r="C101" s="564" t="s">
        <v>273</v>
      </c>
      <c r="D101" s="550" t="s">
        <v>14</v>
      </c>
      <c r="E101" s="550" t="s">
        <v>231</v>
      </c>
      <c r="F101" s="576">
        <v>1.0039</v>
      </c>
      <c r="G101" s="564"/>
      <c r="H101" s="550">
        <v>40</v>
      </c>
      <c r="I101" s="633"/>
      <c r="J101" s="633"/>
      <c r="K101" s="633"/>
      <c r="L101" s="630"/>
      <c r="M101" s="723"/>
      <c r="N101" s="724"/>
      <c r="P101" s="417">
        <v>0.76835777091395374</v>
      </c>
      <c r="Q101" s="418">
        <v>0.67307910134622251</v>
      </c>
      <c r="R101" s="419">
        <v>21</v>
      </c>
      <c r="S101" s="445"/>
      <c r="T101" s="421">
        <v>39</v>
      </c>
      <c r="U101" s="455"/>
      <c r="V101" s="504">
        <v>0</v>
      </c>
    </row>
    <row r="102" spans="1:25" x14ac:dyDescent="0.25">
      <c r="A102" s="625"/>
      <c r="B102" s="590">
        <v>219</v>
      </c>
      <c r="C102" s="564" t="s">
        <v>274</v>
      </c>
      <c r="D102" s="550" t="s">
        <v>14</v>
      </c>
      <c r="E102" s="550">
        <v>220</v>
      </c>
      <c r="F102" s="576">
        <v>1.0045549999999999</v>
      </c>
      <c r="G102" s="564"/>
      <c r="H102" s="550">
        <v>200</v>
      </c>
      <c r="I102" s="633"/>
      <c r="J102" s="633"/>
      <c r="K102" s="633"/>
      <c r="L102" s="630"/>
      <c r="M102" s="723"/>
      <c r="N102" s="724"/>
      <c r="P102" s="417">
        <v>0.76770689104270962</v>
      </c>
      <c r="Q102" s="418">
        <v>0.67242822147497838</v>
      </c>
      <c r="R102" s="419">
        <v>21</v>
      </c>
      <c r="S102" s="445"/>
      <c r="T102" s="421">
        <v>39</v>
      </c>
      <c r="U102" s="455"/>
      <c r="V102" s="504">
        <v>0</v>
      </c>
    </row>
    <row r="103" spans="1:25" ht="15.75" thickBot="1" x14ac:dyDescent="0.3">
      <c r="A103" s="626"/>
      <c r="B103" s="598">
        <v>220</v>
      </c>
      <c r="C103" s="568" t="s">
        <v>275</v>
      </c>
      <c r="D103" s="569" t="s">
        <v>14</v>
      </c>
      <c r="E103" s="569">
        <v>500</v>
      </c>
      <c r="F103" s="570">
        <v>1.0109999999999999</v>
      </c>
      <c r="G103" s="568"/>
      <c r="H103" s="569">
        <v>1600</v>
      </c>
      <c r="I103" s="634"/>
      <c r="J103" s="634"/>
      <c r="K103" s="634"/>
      <c r="L103" s="631"/>
      <c r="M103" s="725"/>
      <c r="N103" s="726"/>
      <c r="P103" s="456">
        <v>0.76770689104270962</v>
      </c>
      <c r="Q103" s="457">
        <v>0.67242822147497838</v>
      </c>
      <c r="R103" s="426">
        <v>21</v>
      </c>
      <c r="S103" s="447"/>
      <c r="T103" s="430">
        <v>39</v>
      </c>
      <c r="U103" s="458"/>
      <c r="V103" s="505">
        <v>0</v>
      </c>
    </row>
    <row r="104" spans="1:25" ht="45.75" customHeight="1" thickTop="1" thickBot="1" x14ac:dyDescent="0.3">
      <c r="A104" s="404" t="s">
        <v>276</v>
      </c>
      <c r="B104" s="553">
        <v>240</v>
      </c>
      <c r="C104" s="554" t="s">
        <v>135</v>
      </c>
      <c r="D104" s="553" t="s">
        <v>229</v>
      </c>
      <c r="E104" s="553">
        <v>132</v>
      </c>
      <c r="F104" s="555">
        <v>1.0669</v>
      </c>
      <c r="G104" s="556"/>
      <c r="H104" s="607">
        <v>0</v>
      </c>
      <c r="I104" s="716" t="s">
        <v>277</v>
      </c>
      <c r="J104" s="717"/>
      <c r="K104" s="718"/>
      <c r="L104" s="608" t="s">
        <v>136</v>
      </c>
      <c r="M104" s="719" t="s">
        <v>278</v>
      </c>
      <c r="N104" s="720"/>
      <c r="P104" s="519">
        <v>0.22219686326619972</v>
      </c>
      <c r="Q104" s="520">
        <v>0.19406532805190807</v>
      </c>
      <c r="R104" s="467">
        <v>121</v>
      </c>
      <c r="S104" s="468"/>
      <c r="T104" s="469">
        <v>165</v>
      </c>
      <c r="U104" s="470"/>
      <c r="V104" s="521">
        <v>0</v>
      </c>
    </row>
    <row r="105" spans="1:25" ht="15.75" thickTop="1" x14ac:dyDescent="0.25">
      <c r="A105" s="405"/>
      <c r="B105" s="406"/>
      <c r="D105" s="407"/>
      <c r="E105" s="407"/>
      <c r="F105" s="408"/>
      <c r="G105" s="406"/>
      <c r="H105" s="407"/>
    </row>
    <row r="106" spans="1:25" x14ac:dyDescent="0.25">
      <c r="A106" s="405"/>
      <c r="B106" s="406"/>
      <c r="D106" s="407"/>
      <c r="E106" s="407"/>
      <c r="F106" s="408"/>
      <c r="G106" s="406"/>
      <c r="H106" s="407"/>
    </row>
    <row r="107" spans="1:25" x14ac:dyDescent="0.25">
      <c r="A107" s="405"/>
      <c r="B107" s="406"/>
      <c r="C107" t="s">
        <v>279</v>
      </c>
      <c r="D107" s="407"/>
      <c r="E107" s="407"/>
      <c r="F107" s="408"/>
      <c r="G107" s="406"/>
      <c r="H107" s="407"/>
    </row>
    <row r="110" spans="1:25" x14ac:dyDescent="0.25">
      <c r="W110" s="117"/>
    </row>
  </sheetData>
  <autoFilter ref="A4:Y104">
    <filterColumn colId="8" showButton="0"/>
    <filterColumn colId="9" showButton="0"/>
    <filterColumn colId="12" showButton="0"/>
  </autoFilter>
  <mergeCells count="81">
    <mergeCell ref="L24:L26"/>
    <mergeCell ref="M24:N26"/>
    <mergeCell ref="I27:K33"/>
    <mergeCell ref="L27:L33"/>
    <mergeCell ref="M27:N33"/>
    <mergeCell ref="I104:K104"/>
    <mergeCell ref="M104:N104"/>
    <mergeCell ref="M81:N103"/>
    <mergeCell ref="I83:I88"/>
    <mergeCell ref="J83:K91"/>
    <mergeCell ref="I92:I95"/>
    <mergeCell ref="J92:K96"/>
    <mergeCell ref="M50:N56"/>
    <mergeCell ref="I53:J54"/>
    <mergeCell ref="I55:J55"/>
    <mergeCell ref="I56:J56"/>
    <mergeCell ref="J67:K72"/>
    <mergeCell ref="I68:I70"/>
    <mergeCell ref="M57:N80"/>
    <mergeCell ref="M39:N46"/>
    <mergeCell ref="I41:J43"/>
    <mergeCell ref="I44:J46"/>
    <mergeCell ref="A47:A49"/>
    <mergeCell ref="B47:B49"/>
    <mergeCell ref="C47:D48"/>
    <mergeCell ref="E47:E49"/>
    <mergeCell ref="F47:F49"/>
    <mergeCell ref="G47:G49"/>
    <mergeCell ref="H47:N47"/>
    <mergeCell ref="H48:H49"/>
    <mergeCell ref="I48:K49"/>
    <mergeCell ref="L48:L49"/>
    <mergeCell ref="M48:N49"/>
    <mergeCell ref="A39:A46"/>
    <mergeCell ref="I39:J40"/>
    <mergeCell ref="J34:J36"/>
    <mergeCell ref="A34:A38"/>
    <mergeCell ref="M5:N11"/>
    <mergeCell ref="A12:A32"/>
    <mergeCell ref="I12:K23"/>
    <mergeCell ref="L12:L23"/>
    <mergeCell ref="M12:N23"/>
    <mergeCell ref="A5:A11"/>
    <mergeCell ref="I5:K11"/>
    <mergeCell ref="L5:L11"/>
    <mergeCell ref="K34:K38"/>
    <mergeCell ref="L34:L38"/>
    <mergeCell ref="M34:N35"/>
    <mergeCell ref="M36:N36"/>
    <mergeCell ref="M37:N38"/>
    <mergeCell ref="I24:K26"/>
    <mergeCell ref="L3:L4"/>
    <mergeCell ref="G2:G4"/>
    <mergeCell ref="H2:N2"/>
    <mergeCell ref="H3:H4"/>
    <mergeCell ref="I3:K4"/>
    <mergeCell ref="M3:N4"/>
    <mergeCell ref="A2:A4"/>
    <mergeCell ref="B2:B4"/>
    <mergeCell ref="C2:D3"/>
    <mergeCell ref="E2:E4"/>
    <mergeCell ref="F2:F4"/>
    <mergeCell ref="K39:K46"/>
    <mergeCell ref="L39:L46"/>
    <mergeCell ref="A50:A56"/>
    <mergeCell ref="I50:J52"/>
    <mergeCell ref="K50:K56"/>
    <mergeCell ref="L50:L56"/>
    <mergeCell ref="G68:G70"/>
    <mergeCell ref="A57:A80"/>
    <mergeCell ref="J57:K66"/>
    <mergeCell ref="L57:L80"/>
    <mergeCell ref="I60:I65"/>
    <mergeCell ref="I73:I74"/>
    <mergeCell ref="J73:K76"/>
    <mergeCell ref="A81:A103"/>
    <mergeCell ref="I81:K82"/>
    <mergeCell ref="L81:L103"/>
    <mergeCell ref="I75:I76"/>
    <mergeCell ref="I77:K80"/>
    <mergeCell ref="I97:K103"/>
  </mergeCells>
  <pageMargins left="0.25" right="0.25" top="0.75" bottom="0.75" header="0.3" footer="0.3"/>
  <pageSetup paperSize="9" scale="44" fitToHeight="2" orientation="landscape" verticalDpi="598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2:J53"/>
  <sheetViews>
    <sheetView topLeftCell="A32" workbookViewId="0">
      <selection activeCell="J13" sqref="J13:J53"/>
    </sheetView>
  </sheetViews>
  <sheetFormatPr baseColWidth="10" defaultRowHeight="15" x14ac:dyDescent="0.25"/>
  <sheetData>
    <row r="2" spans="1:10" x14ac:dyDescent="0.25">
      <c r="A2" s="23"/>
      <c r="B2" s="23"/>
      <c r="C2" s="23"/>
      <c r="D2" s="23"/>
      <c r="E2" s="23"/>
      <c r="F2" s="23"/>
      <c r="G2" s="23"/>
      <c r="H2" s="23"/>
    </row>
    <row r="3" spans="1:10" x14ac:dyDescent="0.25">
      <c r="A3" s="23"/>
      <c r="B3" s="37" t="s">
        <v>92</v>
      </c>
      <c r="C3" s="23"/>
      <c r="D3" s="18" t="s">
        <v>85</v>
      </c>
      <c r="E3" s="23"/>
      <c r="F3" s="23" t="s">
        <v>0</v>
      </c>
      <c r="G3" s="23"/>
      <c r="H3" s="23"/>
      <c r="I3" t="s">
        <v>154</v>
      </c>
    </row>
    <row r="4" spans="1:10" x14ac:dyDescent="0.25">
      <c r="A4" s="23"/>
      <c r="B4" s="37" t="s">
        <v>86</v>
      </c>
      <c r="C4" s="23"/>
      <c r="D4" s="9" t="s">
        <v>88</v>
      </c>
      <c r="E4" s="23"/>
      <c r="F4" s="23" t="s">
        <v>84</v>
      </c>
      <c r="G4" s="23"/>
      <c r="H4" s="23"/>
      <c r="I4" t="s">
        <v>155</v>
      </c>
    </row>
    <row r="5" spans="1:10" x14ac:dyDescent="0.25">
      <c r="A5" s="23"/>
      <c r="B5" s="23"/>
      <c r="C5" s="23"/>
      <c r="D5" s="9" t="s">
        <v>89</v>
      </c>
      <c r="E5" s="23"/>
      <c r="F5" s="23" t="s">
        <v>126</v>
      </c>
      <c r="G5" s="23"/>
      <c r="H5" s="23"/>
    </row>
    <row r="6" spans="1:10" x14ac:dyDescent="0.25">
      <c r="A6" s="23"/>
      <c r="B6" s="23"/>
      <c r="C6" s="23"/>
      <c r="D6" s="9"/>
      <c r="E6" s="23"/>
      <c r="F6" s="23" t="s">
        <v>127</v>
      </c>
      <c r="G6" s="23"/>
      <c r="H6" s="23"/>
    </row>
    <row r="7" spans="1:10" x14ac:dyDescent="0.25">
      <c r="A7" s="23"/>
      <c r="B7" s="23"/>
      <c r="C7" s="23"/>
      <c r="D7" s="23"/>
      <c r="E7" s="23"/>
      <c r="F7" s="23" t="s">
        <v>128</v>
      </c>
      <c r="G7" s="23"/>
      <c r="H7" s="23"/>
    </row>
    <row r="8" spans="1:10" x14ac:dyDescent="0.25">
      <c r="A8" s="23"/>
      <c r="B8" s="23"/>
      <c r="C8" s="23"/>
      <c r="D8" s="23"/>
      <c r="E8" s="23"/>
      <c r="F8" s="23" t="s">
        <v>129</v>
      </c>
      <c r="G8" s="23"/>
      <c r="H8" s="23"/>
    </row>
    <row r="9" spans="1:10" x14ac:dyDescent="0.25">
      <c r="A9" s="23"/>
      <c r="B9" s="23"/>
      <c r="C9" s="23"/>
      <c r="D9" s="23"/>
      <c r="E9" s="23"/>
      <c r="F9" s="65"/>
      <c r="G9" s="23"/>
      <c r="H9" s="23"/>
    </row>
    <row r="12" spans="1:10" ht="15.75" thickBot="1" x14ac:dyDescent="0.3"/>
    <row r="13" spans="1:10" x14ac:dyDescent="0.25">
      <c r="B13" s="193" t="s">
        <v>85</v>
      </c>
      <c r="C13" t="s">
        <v>195</v>
      </c>
      <c r="F13">
        <v>24</v>
      </c>
      <c r="I13" s="118"/>
      <c r="J13">
        <v>0</v>
      </c>
    </row>
    <row r="14" spans="1:10" x14ac:dyDescent="0.25">
      <c r="B14" s="145" t="s">
        <v>88</v>
      </c>
      <c r="C14" t="s">
        <v>196</v>
      </c>
      <c r="F14">
        <v>25</v>
      </c>
      <c r="I14" s="118"/>
      <c r="J14">
        <v>1</v>
      </c>
    </row>
    <row r="15" spans="1:10" ht="15.75" thickBot="1" x14ac:dyDescent="0.3">
      <c r="B15" s="147" t="s">
        <v>89</v>
      </c>
      <c r="C15" t="s">
        <v>197</v>
      </c>
      <c r="F15">
        <v>26</v>
      </c>
      <c r="I15" s="119"/>
      <c r="J15">
        <v>2</v>
      </c>
    </row>
    <row r="16" spans="1:10" x14ac:dyDescent="0.25">
      <c r="F16">
        <v>27</v>
      </c>
      <c r="J16">
        <v>3</v>
      </c>
    </row>
    <row r="17" spans="6:10" x14ac:dyDescent="0.25">
      <c r="F17">
        <v>28</v>
      </c>
      <c r="J17">
        <v>4</v>
      </c>
    </row>
    <row r="18" spans="6:10" x14ac:dyDescent="0.25">
      <c r="F18">
        <v>29</v>
      </c>
      <c r="J18">
        <v>5</v>
      </c>
    </row>
    <row r="19" spans="6:10" x14ac:dyDescent="0.25">
      <c r="F19">
        <v>30</v>
      </c>
      <c r="J19">
        <v>6</v>
      </c>
    </row>
    <row r="20" spans="6:10" x14ac:dyDescent="0.25">
      <c r="F20">
        <v>31</v>
      </c>
      <c r="J20">
        <v>7</v>
      </c>
    </row>
    <row r="21" spans="6:10" x14ac:dyDescent="0.25">
      <c r="F21">
        <v>32</v>
      </c>
      <c r="J21">
        <v>8</v>
      </c>
    </row>
    <row r="22" spans="6:10" x14ac:dyDescent="0.25">
      <c r="F22">
        <v>33</v>
      </c>
      <c r="J22">
        <v>9</v>
      </c>
    </row>
    <row r="23" spans="6:10" x14ac:dyDescent="0.25">
      <c r="F23">
        <v>34</v>
      </c>
      <c r="J23">
        <v>10</v>
      </c>
    </row>
    <row r="24" spans="6:10" x14ac:dyDescent="0.25">
      <c r="F24">
        <v>35</v>
      </c>
      <c r="J24">
        <v>11</v>
      </c>
    </row>
    <row r="25" spans="6:10" x14ac:dyDescent="0.25">
      <c r="F25">
        <v>36</v>
      </c>
      <c r="J25">
        <v>12</v>
      </c>
    </row>
    <row r="26" spans="6:10" x14ac:dyDescent="0.25">
      <c r="J26">
        <v>13</v>
      </c>
    </row>
    <row r="27" spans="6:10" x14ac:dyDescent="0.25">
      <c r="J27">
        <v>14</v>
      </c>
    </row>
    <row r="28" spans="6:10" x14ac:dyDescent="0.25">
      <c r="J28">
        <v>15</v>
      </c>
    </row>
    <row r="29" spans="6:10" x14ac:dyDescent="0.25">
      <c r="J29">
        <v>16</v>
      </c>
    </row>
    <row r="30" spans="6:10" x14ac:dyDescent="0.25">
      <c r="J30">
        <v>17</v>
      </c>
    </row>
    <row r="31" spans="6:10" x14ac:dyDescent="0.25">
      <c r="J31">
        <v>18</v>
      </c>
    </row>
    <row r="32" spans="6:10" x14ac:dyDescent="0.25">
      <c r="J32">
        <v>19</v>
      </c>
    </row>
    <row r="33" spans="10:10" x14ac:dyDescent="0.25">
      <c r="J33">
        <v>20</v>
      </c>
    </row>
    <row r="34" spans="10:10" x14ac:dyDescent="0.25">
      <c r="J34">
        <v>21</v>
      </c>
    </row>
    <row r="35" spans="10:10" x14ac:dyDescent="0.25">
      <c r="J35">
        <v>22</v>
      </c>
    </row>
    <row r="36" spans="10:10" x14ac:dyDescent="0.25">
      <c r="J36">
        <v>23</v>
      </c>
    </row>
    <row r="37" spans="10:10" x14ac:dyDescent="0.25">
      <c r="J37">
        <v>24</v>
      </c>
    </row>
    <row r="38" spans="10:10" x14ac:dyDescent="0.25">
      <c r="J38">
        <v>25</v>
      </c>
    </row>
    <row r="39" spans="10:10" x14ac:dyDescent="0.25">
      <c r="J39">
        <v>26</v>
      </c>
    </row>
    <row r="40" spans="10:10" x14ac:dyDescent="0.25">
      <c r="J40">
        <v>27</v>
      </c>
    </row>
    <row r="41" spans="10:10" x14ac:dyDescent="0.25">
      <c r="J41">
        <v>28</v>
      </c>
    </row>
    <row r="42" spans="10:10" x14ac:dyDescent="0.25">
      <c r="J42">
        <v>29</v>
      </c>
    </row>
    <row r="43" spans="10:10" x14ac:dyDescent="0.25">
      <c r="J43">
        <v>30</v>
      </c>
    </row>
    <row r="44" spans="10:10" x14ac:dyDescent="0.25">
      <c r="J44">
        <v>31</v>
      </c>
    </row>
    <row r="45" spans="10:10" x14ac:dyDescent="0.25">
      <c r="J45">
        <v>32</v>
      </c>
    </row>
    <row r="46" spans="10:10" x14ac:dyDescent="0.25">
      <c r="J46">
        <v>33</v>
      </c>
    </row>
    <row r="47" spans="10:10" x14ac:dyDescent="0.25">
      <c r="J47">
        <v>34</v>
      </c>
    </row>
    <row r="48" spans="10:10" x14ac:dyDescent="0.25">
      <c r="J48">
        <v>35</v>
      </c>
    </row>
    <row r="49" spans="10:10" x14ac:dyDescent="0.25">
      <c r="J49">
        <v>36</v>
      </c>
    </row>
    <row r="50" spans="10:10" x14ac:dyDescent="0.25">
      <c r="J50">
        <v>37</v>
      </c>
    </row>
    <row r="51" spans="10:10" x14ac:dyDescent="0.25">
      <c r="J51">
        <v>38</v>
      </c>
    </row>
    <row r="52" spans="10:10" x14ac:dyDescent="0.25">
      <c r="J52">
        <v>39</v>
      </c>
    </row>
    <row r="53" spans="10:10" x14ac:dyDescent="0.25">
      <c r="J53">
        <v>40</v>
      </c>
    </row>
  </sheetData>
  <dataValidations count="1">
    <dataValidation type="list" allowBlank="1" showInputMessage="1" showErrorMessage="1" sqref="B3:B4">
      <formula1>Tipo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Precios Ref Mercado</vt:lpstr>
      <vt:lpstr>Parámetros Globales</vt:lpstr>
      <vt:lpstr>Cierre Ciclo Comb </vt:lpstr>
      <vt:lpstr>Cogenerador</vt:lpstr>
      <vt:lpstr>PDI Aux</vt:lpstr>
      <vt:lpstr>Aux</vt:lpstr>
      <vt:lpstr>'PDI Aux'!Área_de_impresión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Benetti</dc:creator>
  <cp:lastModifiedBy>Juan Carlos Benitez</cp:lastModifiedBy>
  <cp:lastPrinted>2017-08-01T14:39:02Z</cp:lastPrinted>
  <dcterms:created xsi:type="dcterms:W3CDTF">2017-04-24T13:23:21Z</dcterms:created>
  <dcterms:modified xsi:type="dcterms:W3CDTF">2017-08-04T14:03:14Z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931356310844421</vt:r8>
  </property>
</Properties>
</file>